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a Kropáčková\Documents\PATRIOT\Rozpočet 2018\Příprava 2018\AS 2018-05-03\"/>
    </mc:Choice>
  </mc:AlternateContent>
  <bookViews>
    <workbookView xWindow="0" yWindow="0" windowWidth="28800" windowHeight="11235" tabRatio="830"/>
  </bookViews>
  <sheets>
    <sheet name="Obsah" sheetId="19" r:id="rId1"/>
    <sheet name="1.1 K - JU" sheetId="16" r:id="rId2"/>
    <sheet name="1.2 Objemy A JU" sheetId="10" r:id="rId3"/>
    <sheet name="1.3 Objemy K JU" sheetId="11" r:id="rId4"/>
    <sheet name="1 Objemy A+K JU" sheetId="15" r:id="rId5"/>
    <sheet name="2 Dotace na RVO 2018" sheetId="17" r:id="rId6"/>
    <sheet name="3 Rekapituace" sheetId="18" r:id="rId7"/>
    <sheet name="4 Návrh R a AK 2018" sheetId="20" r:id="rId8"/>
    <sheet name="5 Alokace R a AK 2018" sheetId="21" r:id="rId9"/>
    <sheet name="6 Rekapitulace 2018 s alokací" sheetId="22" r:id="rId10"/>
  </sheets>
  <externalReferences>
    <externalReference r:id="rId11"/>
    <externalReference r:id="rId12"/>
  </externalReferences>
  <definedNames>
    <definedName name="ble" localSheetId="8">[1]CFG!#REF!</definedName>
    <definedName name="ble">[1]CFG!#REF!</definedName>
    <definedName name="kkk" localSheetId="8">[1]CFG!#REF!</definedName>
    <definedName name="kkk">[1]CFG!#REF!</definedName>
    <definedName name="kkkkk" localSheetId="8">[1]CFG!#REF!</definedName>
    <definedName name="kkkkk">[1]CFG!#REF!</definedName>
    <definedName name="kkkkkkkkk">[1]CFG!#REF!</definedName>
    <definedName name="kontr_vyp_menu_souhl" localSheetId="8">[1]CFG!#REF!</definedName>
    <definedName name="kontr_vyp_menu_souhl">[1]CFG!#REF!</definedName>
    <definedName name="kontr_vyp_obd" localSheetId="8">[1]CFG!#REF!</definedName>
    <definedName name="kontr_vyp_obd">[1]CFG!#REF!</definedName>
    <definedName name="md_uzit" localSheetId="8">[1]CFG!#REF!</definedName>
    <definedName name="md_uzit">[1]CFG!#REF!</definedName>
    <definedName name="mmmm">[1]CFG!#REF!</definedName>
    <definedName name="mmmmm">[1]CFG!#REF!</definedName>
    <definedName name="mmmmmmmmmm">[1]CFG!#REF!</definedName>
    <definedName name="mmmmmmmmmmmmmmmmm">[1]CFG!#REF!</definedName>
    <definedName name="napln_pole" localSheetId="8">[1]CFG!#REF!</definedName>
    <definedName name="napln_pole">[1]CFG!#REF!</definedName>
    <definedName name="_xlnm.Print_Titles" localSheetId="8">'5 Alokace R a AK 2018'!$A:$B</definedName>
    <definedName name="nn" localSheetId="8">[1]CFG!#REF!</definedName>
    <definedName name="nn">[1]CFG!#REF!</definedName>
    <definedName name="nnn">[1]CFG!#REF!</definedName>
    <definedName name="nnnn">[1]CFG!#REF!</definedName>
    <definedName name="obl_vzorcu" localSheetId="8">#REF!</definedName>
    <definedName name="obl_vzorcu">#REF!</definedName>
    <definedName name="okl" localSheetId="8">#REF!</definedName>
    <definedName name="ok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2" l="1"/>
  <c r="H12" i="22"/>
  <c r="H10" i="22"/>
  <c r="H11" i="22"/>
  <c r="H8" i="22"/>
  <c r="H5" i="22"/>
  <c r="H25" i="22" l="1"/>
  <c r="G24" i="22" l="1"/>
  <c r="H9" i="22" s="1"/>
  <c r="G23" i="22"/>
  <c r="H7" i="22" s="1"/>
  <c r="G22" i="22"/>
  <c r="H6" i="22" s="1"/>
  <c r="G25" i="22" l="1"/>
  <c r="H13" i="22"/>
  <c r="H16" i="22" s="1"/>
  <c r="G14" i="22" l="1"/>
  <c r="B13" i="22" l="1"/>
  <c r="B16" i="22" s="1"/>
  <c r="F13" i="22"/>
  <c r="F16" i="22" s="1"/>
  <c r="D13" i="22"/>
  <c r="D16" i="22" s="1"/>
  <c r="C13" i="22"/>
  <c r="C16" i="22" s="1"/>
  <c r="E12" i="22"/>
  <c r="G12" i="22" s="1"/>
  <c r="E11" i="22"/>
  <c r="G11" i="22" s="1"/>
  <c r="E10" i="22"/>
  <c r="G10" i="22" s="1"/>
  <c r="E9" i="22"/>
  <c r="G9" i="22" s="1"/>
  <c r="E8" i="22"/>
  <c r="G8" i="22" s="1"/>
  <c r="E7" i="22"/>
  <c r="G7" i="22" s="1"/>
  <c r="E6" i="22"/>
  <c r="E5" i="22"/>
  <c r="G5" i="22" s="1"/>
  <c r="E13" i="22" l="1"/>
  <c r="E16" i="22" s="1"/>
  <c r="G16" i="22" s="1"/>
  <c r="G6" i="22"/>
  <c r="G13" i="22" s="1"/>
  <c r="K14" i="18" l="1"/>
  <c r="K13" i="18"/>
  <c r="C22" i="10" l="1"/>
  <c r="B22" i="10"/>
  <c r="F20" i="10"/>
  <c r="G20" i="10" s="1"/>
  <c r="H20" i="10" s="1"/>
  <c r="F19" i="10"/>
  <c r="G19" i="10" s="1"/>
  <c r="H19" i="10" s="1"/>
  <c r="F18" i="10"/>
  <c r="G18" i="10" s="1"/>
  <c r="H18" i="10" s="1"/>
  <c r="F17" i="10"/>
  <c r="G17" i="10" s="1"/>
  <c r="H17" i="10" s="1"/>
  <c r="F16" i="10"/>
  <c r="G16" i="10" s="1"/>
  <c r="H16" i="10" s="1"/>
  <c r="F15" i="10"/>
  <c r="G15" i="10" s="1"/>
  <c r="H15" i="10" s="1"/>
  <c r="F14" i="10"/>
  <c r="G14" i="10" s="1"/>
  <c r="H14" i="10" s="1"/>
  <c r="E22" i="10"/>
  <c r="F13" i="10"/>
  <c r="F22" i="10" l="1"/>
  <c r="G13" i="10"/>
  <c r="D22" i="10"/>
  <c r="O57" i="21"/>
  <c r="L55" i="21"/>
  <c r="K55" i="21"/>
  <c r="H55" i="21"/>
  <c r="U53" i="21"/>
  <c r="R53" i="21"/>
  <c r="O53" i="21"/>
  <c r="N53" i="21"/>
  <c r="M53" i="21"/>
  <c r="L53" i="21"/>
  <c r="K53" i="21"/>
  <c r="J53" i="21"/>
  <c r="J55" i="21" s="1"/>
  <c r="I53" i="21"/>
  <c r="I55" i="21" s="1"/>
  <c r="H53" i="21"/>
  <c r="F53" i="21"/>
  <c r="E53" i="21"/>
  <c r="S52" i="21"/>
  <c r="Q52" i="21"/>
  <c r="G52" i="21"/>
  <c r="G53" i="21" s="1"/>
  <c r="F52" i="21"/>
  <c r="S51" i="21"/>
  <c r="Q51" i="21"/>
  <c r="P51" i="21"/>
  <c r="S50" i="21"/>
  <c r="Q50" i="21"/>
  <c r="P50" i="21"/>
  <c r="Q49" i="21"/>
  <c r="P49" i="21"/>
  <c r="S49" i="21" s="1"/>
  <c r="Q48" i="21"/>
  <c r="P48" i="21"/>
  <c r="S48" i="21" s="1"/>
  <c r="S47" i="21"/>
  <c r="Q47" i="21"/>
  <c r="P47" i="21"/>
  <c r="S46" i="21"/>
  <c r="Q46" i="21"/>
  <c r="P46" i="21"/>
  <c r="Q45" i="21"/>
  <c r="P45" i="21"/>
  <c r="S45" i="21" s="1"/>
  <c r="Q44" i="21"/>
  <c r="P44" i="21"/>
  <c r="S44" i="21" s="1"/>
  <c r="Q43" i="21"/>
  <c r="P43" i="21"/>
  <c r="S43" i="21" s="1"/>
  <c r="Q42" i="21"/>
  <c r="P42" i="21"/>
  <c r="AB39" i="21"/>
  <c r="Z39" i="21"/>
  <c r="X39" i="21"/>
  <c r="V39" i="21"/>
  <c r="T39" i="21"/>
  <c r="R39" i="21"/>
  <c r="Q39" i="21"/>
  <c r="O39" i="21"/>
  <c r="N39" i="21"/>
  <c r="M39" i="21"/>
  <c r="L39" i="21"/>
  <c r="G39" i="21"/>
  <c r="F39" i="21"/>
  <c r="E39" i="21"/>
  <c r="A39" i="21"/>
  <c r="Q38" i="21"/>
  <c r="P38" i="21"/>
  <c r="S38" i="21" s="1"/>
  <c r="A38" i="21"/>
  <c r="Q37" i="21"/>
  <c r="P37" i="21"/>
  <c r="S37" i="21" s="1"/>
  <c r="S36" i="21"/>
  <c r="S39" i="21" s="1"/>
  <c r="Q36" i="21"/>
  <c r="P36" i="21"/>
  <c r="A36" i="21"/>
  <c r="R34" i="21"/>
  <c r="O34" i="21"/>
  <c r="O55" i="21" s="1"/>
  <c r="N34" i="21"/>
  <c r="M34" i="21"/>
  <c r="L34" i="21"/>
  <c r="G34" i="21"/>
  <c r="F34" i="21"/>
  <c r="E34" i="21"/>
  <c r="S33" i="21"/>
  <c r="Q33" i="21"/>
  <c r="P33" i="21"/>
  <c r="Q32" i="21"/>
  <c r="P32" i="21"/>
  <c r="S32" i="21" s="1"/>
  <c r="S34" i="21" s="1"/>
  <c r="R30" i="21"/>
  <c r="O30" i="21"/>
  <c r="N30" i="21"/>
  <c r="M30" i="21"/>
  <c r="G30" i="21"/>
  <c r="F30" i="21"/>
  <c r="E30" i="21"/>
  <c r="A30" i="21"/>
  <c r="S29" i="21"/>
  <c r="P29" i="21"/>
  <c r="Q28" i="21"/>
  <c r="P28" i="21"/>
  <c r="S28" i="21" s="1"/>
  <c r="A28" i="21"/>
  <c r="Q27" i="21"/>
  <c r="P27" i="21"/>
  <c r="S27" i="21" s="1"/>
  <c r="A27" i="21"/>
  <c r="Q26" i="21"/>
  <c r="P26" i="21"/>
  <c r="S26" i="21" s="1"/>
  <c r="A26" i="21"/>
  <c r="Q25" i="21"/>
  <c r="P25" i="21"/>
  <c r="S25" i="21" s="1"/>
  <c r="A25" i="21"/>
  <c r="Q24" i="21"/>
  <c r="P24" i="21"/>
  <c r="S24" i="21" s="1"/>
  <c r="A24" i="21"/>
  <c r="Q23" i="21"/>
  <c r="P23" i="21"/>
  <c r="S23" i="21" s="1"/>
  <c r="A23" i="21"/>
  <c r="Q22" i="21"/>
  <c r="P22" i="21"/>
  <c r="S22" i="21" s="1"/>
  <c r="A22" i="21"/>
  <c r="Q21" i="21"/>
  <c r="P21" i="21"/>
  <c r="S21" i="21" s="1"/>
  <c r="A21" i="21"/>
  <c r="Q20" i="21"/>
  <c r="P20" i="21"/>
  <c r="S20" i="21" s="1"/>
  <c r="A20" i="21"/>
  <c r="Q19" i="21"/>
  <c r="P19" i="21"/>
  <c r="S19" i="21" s="1"/>
  <c r="A19" i="21"/>
  <c r="Q18" i="21"/>
  <c r="P18" i="21"/>
  <c r="S18" i="21" s="1"/>
  <c r="A18" i="21"/>
  <c r="Q17" i="21"/>
  <c r="P17" i="21"/>
  <c r="S17" i="21" s="1"/>
  <c r="A17" i="21"/>
  <c r="R15" i="21"/>
  <c r="Q15" i="21"/>
  <c r="O15" i="21"/>
  <c r="N15" i="21"/>
  <c r="M15" i="21"/>
  <c r="G15" i="21"/>
  <c r="F15" i="21"/>
  <c r="E15" i="21"/>
  <c r="A15" i="21"/>
  <c r="Q14" i="21"/>
  <c r="P14" i="21"/>
  <c r="S14" i="21" s="1"/>
  <c r="A14" i="21"/>
  <c r="Q13" i="21"/>
  <c r="P13" i="21"/>
  <c r="A13" i="21"/>
  <c r="R11" i="21"/>
  <c r="O11" i="21"/>
  <c r="N11" i="21"/>
  <c r="M11" i="21"/>
  <c r="G11" i="21"/>
  <c r="F11" i="21"/>
  <c r="E11" i="21"/>
  <c r="A11" i="21"/>
  <c r="Q10" i="21"/>
  <c r="P10" i="21"/>
  <c r="S10" i="21" s="1"/>
  <c r="A10" i="21"/>
  <c r="Q9" i="21"/>
  <c r="Q11" i="21" s="1"/>
  <c r="P9" i="21"/>
  <c r="R7" i="21"/>
  <c r="Q7" i="21"/>
  <c r="O7" i="21"/>
  <c r="N7" i="21"/>
  <c r="M7" i="21"/>
  <c r="G7" i="21"/>
  <c r="F7" i="21"/>
  <c r="E7" i="21"/>
  <c r="A7" i="21"/>
  <c r="Q6" i="21"/>
  <c r="P6" i="21"/>
  <c r="S6" i="21" s="1"/>
  <c r="A6" i="21"/>
  <c r="Q5" i="21"/>
  <c r="P5" i="21"/>
  <c r="P7" i="21" s="1"/>
  <c r="S4" i="21"/>
  <c r="W76" i="20"/>
  <c r="U76" i="20"/>
  <c r="T76" i="20"/>
  <c r="P76" i="20"/>
  <c r="N76" i="20"/>
  <c r="M76" i="20"/>
  <c r="J76" i="20"/>
  <c r="H76" i="20"/>
  <c r="G76" i="20"/>
  <c r="F75" i="20"/>
  <c r="D75" i="20" s="1"/>
  <c r="F74" i="20"/>
  <c r="D74" i="20"/>
  <c r="F73" i="20"/>
  <c r="D73" i="20"/>
  <c r="F72" i="20"/>
  <c r="D72" i="20"/>
  <c r="L71" i="20"/>
  <c r="F71" i="20"/>
  <c r="D71" i="20" s="1"/>
  <c r="L70" i="20"/>
  <c r="F70" i="20"/>
  <c r="D70" i="20"/>
  <c r="F69" i="20"/>
  <c r="D69" i="20" s="1"/>
  <c r="L68" i="20"/>
  <c r="F68" i="20"/>
  <c r="D68" i="20" s="1"/>
  <c r="L67" i="20"/>
  <c r="F67" i="20"/>
  <c r="D67" i="20" s="1"/>
  <c r="V66" i="20"/>
  <c r="S66" i="20"/>
  <c r="R66" i="20"/>
  <c r="K66" i="20"/>
  <c r="L66" i="20" s="1"/>
  <c r="E66" i="20"/>
  <c r="F66" i="20" s="1"/>
  <c r="D66" i="20" s="1"/>
  <c r="C66" i="20"/>
  <c r="V65" i="20"/>
  <c r="L65" i="20"/>
  <c r="F65" i="20"/>
  <c r="D65" i="20"/>
  <c r="L64" i="20"/>
  <c r="F64" i="20"/>
  <c r="D64" i="20" s="1"/>
  <c r="L63" i="20"/>
  <c r="F63" i="20"/>
  <c r="D63" i="20" s="1"/>
  <c r="L62" i="20"/>
  <c r="F62" i="20"/>
  <c r="D62" i="20"/>
  <c r="L61" i="20"/>
  <c r="F61" i="20"/>
  <c r="D61" i="20"/>
  <c r="L60" i="20"/>
  <c r="F60" i="20"/>
  <c r="C60" i="20"/>
  <c r="L59" i="20"/>
  <c r="F59" i="20"/>
  <c r="D59" i="20" s="1"/>
  <c r="L58" i="20"/>
  <c r="F58" i="20"/>
  <c r="C58" i="20"/>
  <c r="L56" i="20"/>
  <c r="F56" i="20"/>
  <c r="D56" i="20"/>
  <c r="L55" i="20"/>
  <c r="F55" i="20"/>
  <c r="D55" i="20" s="1"/>
  <c r="L54" i="20"/>
  <c r="F54" i="20"/>
  <c r="D54" i="20"/>
  <c r="L53" i="20"/>
  <c r="F53" i="20"/>
  <c r="D53" i="20"/>
  <c r="L52" i="20"/>
  <c r="F52" i="20"/>
  <c r="D52" i="20" s="1"/>
  <c r="S51" i="20"/>
  <c r="R51" i="20"/>
  <c r="L51" i="20"/>
  <c r="F51" i="20"/>
  <c r="D51" i="20" s="1"/>
  <c r="S50" i="20"/>
  <c r="L50" i="20"/>
  <c r="F50" i="20"/>
  <c r="D50" i="20" s="1"/>
  <c r="K49" i="20"/>
  <c r="L49" i="20" s="1"/>
  <c r="F49" i="20"/>
  <c r="D49" i="20"/>
  <c r="L48" i="20"/>
  <c r="F48" i="20"/>
  <c r="C48" i="20"/>
  <c r="L47" i="20"/>
  <c r="F47" i="20"/>
  <c r="D47" i="20"/>
  <c r="L46" i="20"/>
  <c r="F46" i="20"/>
  <c r="D46" i="20" s="1"/>
  <c r="K45" i="20"/>
  <c r="L45" i="20" s="1"/>
  <c r="E45" i="20"/>
  <c r="F45" i="20" s="1"/>
  <c r="D45" i="20" s="1"/>
  <c r="L44" i="20"/>
  <c r="F44" i="20"/>
  <c r="D44" i="20" s="1"/>
  <c r="L43" i="20"/>
  <c r="F43" i="20"/>
  <c r="D43" i="20"/>
  <c r="L42" i="20"/>
  <c r="F42" i="20"/>
  <c r="D42" i="20"/>
  <c r="L41" i="20"/>
  <c r="F41" i="20"/>
  <c r="C41" i="20"/>
  <c r="D41" i="20" s="1"/>
  <c r="L40" i="20"/>
  <c r="F40" i="20"/>
  <c r="D40" i="20" s="1"/>
  <c r="L39" i="20"/>
  <c r="F39" i="20"/>
  <c r="D39" i="20"/>
  <c r="L38" i="20"/>
  <c r="F38" i="20"/>
  <c r="D38" i="20"/>
  <c r="L37" i="20"/>
  <c r="F37" i="20"/>
  <c r="C37" i="20"/>
  <c r="L36" i="20"/>
  <c r="F36" i="20"/>
  <c r="D36" i="20" s="1"/>
  <c r="S35" i="20"/>
  <c r="L35" i="20"/>
  <c r="F35" i="20"/>
  <c r="D35" i="20" s="1"/>
  <c r="S34" i="20"/>
  <c r="R34" i="20"/>
  <c r="L34" i="20"/>
  <c r="F34" i="20"/>
  <c r="D34" i="20" s="1"/>
  <c r="L33" i="20"/>
  <c r="F33" i="20"/>
  <c r="D33" i="20" s="1"/>
  <c r="L32" i="20"/>
  <c r="F32" i="20"/>
  <c r="D32" i="20"/>
  <c r="L31" i="20"/>
  <c r="F31" i="20"/>
  <c r="D31" i="20"/>
  <c r="L30" i="20"/>
  <c r="F30" i="20"/>
  <c r="D30" i="20" s="1"/>
  <c r="L29" i="20"/>
  <c r="F29" i="20"/>
  <c r="D29" i="20"/>
  <c r="L27" i="20"/>
  <c r="F27" i="20"/>
  <c r="D27" i="20"/>
  <c r="S26" i="20"/>
  <c r="R26" i="20"/>
  <c r="L26" i="20"/>
  <c r="F26" i="20"/>
  <c r="D26" i="20"/>
  <c r="L25" i="20"/>
  <c r="F25" i="20"/>
  <c r="C25" i="20"/>
  <c r="D25" i="20" s="1"/>
  <c r="L24" i="20"/>
  <c r="F24" i="20"/>
  <c r="D24" i="20"/>
  <c r="L23" i="20"/>
  <c r="F23" i="20"/>
  <c r="D23" i="20" s="1"/>
  <c r="L21" i="20"/>
  <c r="F21" i="20"/>
  <c r="D21" i="20"/>
  <c r="L20" i="20"/>
  <c r="F20" i="20"/>
  <c r="D20" i="20"/>
  <c r="L19" i="20"/>
  <c r="F19" i="20"/>
  <c r="D19" i="20" s="1"/>
  <c r="L18" i="20"/>
  <c r="F18" i="20"/>
  <c r="D18" i="20" s="1"/>
  <c r="L17" i="20"/>
  <c r="F17" i="20"/>
  <c r="D17" i="20"/>
  <c r="S16" i="20"/>
  <c r="L16" i="20"/>
  <c r="F16" i="20"/>
  <c r="D16" i="20" s="1"/>
  <c r="S15" i="20"/>
  <c r="K15" i="20"/>
  <c r="L15" i="20" s="1"/>
  <c r="E15" i="20"/>
  <c r="F15" i="20" s="1"/>
  <c r="C15" i="20"/>
  <c r="S14" i="20"/>
  <c r="R14" i="20"/>
  <c r="L14" i="20"/>
  <c r="F14" i="20"/>
  <c r="D14" i="20" s="1"/>
  <c r="S13" i="20"/>
  <c r="K13" i="20"/>
  <c r="L13" i="20" s="1"/>
  <c r="F13" i="20"/>
  <c r="D13" i="20" s="1"/>
  <c r="E13" i="20"/>
  <c r="L12" i="20"/>
  <c r="F12" i="20"/>
  <c r="D12" i="20"/>
  <c r="L11" i="20"/>
  <c r="F11" i="20"/>
  <c r="D11" i="20"/>
  <c r="L10" i="20"/>
  <c r="F10" i="20"/>
  <c r="C10" i="20"/>
  <c r="D10" i="20" s="1"/>
  <c r="L9" i="20"/>
  <c r="F9" i="20"/>
  <c r="D9" i="20" s="1"/>
  <c r="L8" i="20"/>
  <c r="F8" i="20"/>
  <c r="D8" i="20"/>
  <c r="L7" i="20"/>
  <c r="F7" i="20"/>
  <c r="D7" i="20"/>
  <c r="S6" i="20"/>
  <c r="R6" i="20"/>
  <c r="K6" i="20"/>
  <c r="L6" i="20" s="1"/>
  <c r="E6" i="20"/>
  <c r="F6" i="20" s="1"/>
  <c r="C6" i="20"/>
  <c r="S5" i="20"/>
  <c r="R5" i="20"/>
  <c r="O5" i="20"/>
  <c r="O76" i="20" s="1"/>
  <c r="K5" i="20"/>
  <c r="L5" i="20" s="1"/>
  <c r="I5" i="20"/>
  <c r="I76" i="20" s="1"/>
  <c r="E5" i="20"/>
  <c r="C76" i="20" l="1"/>
  <c r="E76" i="20"/>
  <c r="D37" i="20"/>
  <c r="D60" i="20"/>
  <c r="V76" i="20"/>
  <c r="D6" i="20"/>
  <c r="D15" i="20"/>
  <c r="F5" i="20"/>
  <c r="D5" i="20" s="1"/>
  <c r="D76" i="20" s="1"/>
  <c r="D58" i="20"/>
  <c r="S76" i="20"/>
  <c r="D48" i="20"/>
  <c r="G22" i="10"/>
  <c r="H22" i="10" s="1"/>
  <c r="H13" i="10"/>
  <c r="M55" i="21"/>
  <c r="M57" i="21" s="1"/>
  <c r="M40" i="21"/>
  <c r="S30" i="21"/>
  <c r="G55" i="21"/>
  <c r="P30" i="21"/>
  <c r="Q55" i="21"/>
  <c r="P15" i="21"/>
  <c r="S13" i="21"/>
  <c r="S15" i="21" s="1"/>
  <c r="G40" i="21"/>
  <c r="Q30" i="21"/>
  <c r="Q40" i="21" s="1"/>
  <c r="E55" i="21"/>
  <c r="E40" i="21"/>
  <c r="N55" i="21"/>
  <c r="N40" i="21"/>
  <c r="R55" i="21"/>
  <c r="R40" i="21"/>
  <c r="P34" i="21"/>
  <c r="F55" i="21"/>
  <c r="O40" i="21"/>
  <c r="Q34" i="21"/>
  <c r="P53" i="21"/>
  <c r="S42" i="21"/>
  <c r="S53" i="21" s="1"/>
  <c r="Q53" i="21"/>
  <c r="S5" i="21"/>
  <c r="S7" i="21" s="1"/>
  <c r="P11" i="21"/>
  <c r="P40" i="21" s="1"/>
  <c r="S9" i="21"/>
  <c r="S11" i="21" s="1"/>
  <c r="P39" i="21"/>
  <c r="F40" i="21"/>
  <c r="S79" i="20"/>
  <c r="S77" i="20"/>
  <c r="S78" i="20"/>
  <c r="L76" i="20"/>
  <c r="R76" i="20"/>
  <c r="K76" i="20"/>
  <c r="I15" i="18"/>
  <c r="J14" i="18"/>
  <c r="J13" i="18"/>
  <c r="I19" i="17"/>
  <c r="I12" i="18"/>
  <c r="F76" i="20" l="1"/>
  <c r="S40" i="21"/>
  <c r="S55" i="21"/>
  <c r="AF56" i="21" s="1"/>
  <c r="T7" i="21"/>
  <c r="N57" i="21"/>
  <c r="P55" i="21"/>
  <c r="F79" i="20"/>
  <c r="F77" i="20"/>
  <c r="F78" i="20"/>
  <c r="F12" i="18"/>
  <c r="F15" i="18" s="1"/>
  <c r="C15" i="18"/>
  <c r="E15" i="18"/>
  <c r="G13" i="18"/>
  <c r="H13" i="18" s="1"/>
  <c r="E12" i="18"/>
  <c r="G11" i="18"/>
  <c r="G10" i="18"/>
  <c r="J10" i="18" s="1"/>
  <c r="G9" i="18"/>
  <c r="J9" i="18" s="1"/>
  <c r="G8" i="18"/>
  <c r="J8" i="18" s="1"/>
  <c r="G7" i="18"/>
  <c r="G6" i="18"/>
  <c r="J6" i="18" s="1"/>
  <c r="G5" i="18"/>
  <c r="J5" i="18" s="1"/>
  <c r="G4" i="18"/>
  <c r="J4" i="18" s="1"/>
  <c r="B12" i="18"/>
  <c r="B15" i="18" s="1"/>
  <c r="D5" i="18"/>
  <c r="D6" i="18"/>
  <c r="D7" i="18"/>
  <c r="D8" i="18"/>
  <c r="K8" i="18" s="1"/>
  <c r="D9" i="18"/>
  <c r="D10" i="18"/>
  <c r="D11" i="18"/>
  <c r="D13" i="18"/>
  <c r="D4" i="18"/>
  <c r="J19" i="17"/>
  <c r="H18" i="17"/>
  <c r="H20" i="17" s="1"/>
  <c r="F18" i="17"/>
  <c r="F20" i="17" s="1"/>
  <c r="E18" i="17"/>
  <c r="E20" i="17" s="1"/>
  <c r="D18" i="17"/>
  <c r="C18" i="17"/>
  <c r="B18" i="17"/>
  <c r="B20" i="17" s="1"/>
  <c r="G17" i="17"/>
  <c r="G16" i="17"/>
  <c r="G15" i="17"/>
  <c r="G14" i="17"/>
  <c r="G13" i="17"/>
  <c r="G12" i="17"/>
  <c r="G11" i="17"/>
  <c r="J10" i="17"/>
  <c r="G10" i="17"/>
  <c r="I10" i="17" s="1"/>
  <c r="K9" i="18" l="1"/>
  <c r="K5" i="18"/>
  <c r="G15" i="18"/>
  <c r="G12" i="18"/>
  <c r="G20" i="18"/>
  <c r="H7" i="18"/>
  <c r="J7" i="18"/>
  <c r="H11" i="18"/>
  <c r="J11" i="18"/>
  <c r="K11" i="18" s="1"/>
  <c r="K7" i="18"/>
  <c r="K10" i="18"/>
  <c r="K6" i="18"/>
  <c r="D12" i="18"/>
  <c r="H5" i="18"/>
  <c r="H9" i="18"/>
  <c r="K4" i="18"/>
  <c r="H4" i="18"/>
  <c r="D15" i="18"/>
  <c r="J14" i="17"/>
  <c r="I14" i="17"/>
  <c r="J11" i="17"/>
  <c r="I11" i="17"/>
  <c r="I18" i="17" s="1"/>
  <c r="I20" i="17" s="1"/>
  <c r="J15" i="17"/>
  <c r="I15" i="17"/>
  <c r="J12" i="17"/>
  <c r="I12" i="17"/>
  <c r="J16" i="17"/>
  <c r="I16" i="17"/>
  <c r="J13" i="17"/>
  <c r="I13" i="17"/>
  <c r="J17" i="17"/>
  <c r="I17" i="17"/>
  <c r="U11" i="21"/>
  <c r="U39" i="21"/>
  <c r="U30" i="21"/>
  <c r="U15" i="21"/>
  <c r="G18" i="17"/>
  <c r="J18" i="17" s="1"/>
  <c r="H8" i="18"/>
  <c r="H6" i="18"/>
  <c r="H10" i="18"/>
  <c r="C20" i="17"/>
  <c r="G20" i="17"/>
  <c r="J20" i="17" s="1"/>
  <c r="D20" i="17"/>
  <c r="J12" i="18" l="1"/>
  <c r="J15" i="18" s="1"/>
  <c r="J20" i="18" s="1"/>
  <c r="K12" i="18"/>
  <c r="K15" i="18" s="1"/>
  <c r="J16" i="18"/>
  <c r="D20" i="18"/>
  <c r="H16" i="18"/>
  <c r="H12" i="18"/>
  <c r="H15" i="18" s="1"/>
  <c r="U55" i="21"/>
  <c r="V11" i="21"/>
  <c r="W48" i="21" l="1"/>
  <c r="W44" i="21"/>
  <c r="W43" i="21"/>
  <c r="W42" i="21"/>
  <c r="W39" i="21"/>
  <c r="W51" i="21"/>
  <c r="W47" i="21"/>
  <c r="W49" i="21"/>
  <c r="W52" i="21"/>
  <c r="W50" i="21"/>
  <c r="W15" i="21"/>
  <c r="W45" i="21"/>
  <c r="W46" i="21"/>
  <c r="W34" i="21"/>
  <c r="W30" i="21"/>
  <c r="B5" i="10"/>
  <c r="C5" i="10"/>
  <c r="D6" i="10" s="1"/>
  <c r="B7" i="10"/>
  <c r="C7" i="10"/>
  <c r="D7" i="10"/>
  <c r="D31" i="15"/>
  <c r="D30" i="15"/>
  <c r="D29" i="15"/>
  <c r="D28" i="15"/>
  <c r="D27" i="15"/>
  <c r="D26" i="15"/>
  <c r="D25" i="15"/>
  <c r="D24" i="15"/>
  <c r="N49" i="15"/>
  <c r="L49" i="15"/>
  <c r="J49" i="15"/>
  <c r="H49" i="15"/>
  <c r="E49" i="15"/>
  <c r="C49" i="15"/>
  <c r="P49" i="15" s="1"/>
  <c r="Q49" i="15" s="1"/>
  <c r="N48" i="15"/>
  <c r="L48" i="15"/>
  <c r="J48" i="15"/>
  <c r="H48" i="15"/>
  <c r="E48" i="15"/>
  <c r="C48" i="15"/>
  <c r="N47" i="15"/>
  <c r="L47" i="15"/>
  <c r="J47" i="15"/>
  <c r="H47" i="15"/>
  <c r="E47" i="15"/>
  <c r="C47" i="15"/>
  <c r="P47" i="15" s="1"/>
  <c r="Q47" i="15" s="1"/>
  <c r="N46" i="15"/>
  <c r="L46" i="15"/>
  <c r="J46" i="15"/>
  <c r="H46" i="15"/>
  <c r="E46" i="15"/>
  <c r="C46" i="15"/>
  <c r="N45" i="15"/>
  <c r="L45" i="15"/>
  <c r="J45" i="15"/>
  <c r="H45" i="15"/>
  <c r="E45" i="15"/>
  <c r="C45" i="15"/>
  <c r="P45" i="15" s="1"/>
  <c r="Q45" i="15" s="1"/>
  <c r="N44" i="15"/>
  <c r="L44" i="15"/>
  <c r="J44" i="15"/>
  <c r="H44" i="15"/>
  <c r="E44" i="15"/>
  <c r="C44" i="15"/>
  <c r="N43" i="15"/>
  <c r="L43" i="15"/>
  <c r="J43" i="15"/>
  <c r="H43" i="15"/>
  <c r="E43" i="15"/>
  <c r="C43" i="15"/>
  <c r="P43" i="15" s="1"/>
  <c r="Q43" i="15" s="1"/>
  <c r="N42" i="15"/>
  <c r="L42" i="15"/>
  <c r="J42" i="15"/>
  <c r="H42" i="15"/>
  <c r="E42" i="15"/>
  <c r="C42" i="15"/>
  <c r="E24" i="15" l="1"/>
  <c r="F24" i="15" s="1"/>
  <c r="E30" i="15"/>
  <c r="F30" i="15" s="1"/>
  <c r="E27" i="15"/>
  <c r="F27" i="15" s="1"/>
  <c r="P42" i="15"/>
  <c r="Q42" i="15" s="1"/>
  <c r="P44" i="15"/>
  <c r="Q44" i="15" s="1"/>
  <c r="P46" i="15"/>
  <c r="Q46" i="15" s="1"/>
  <c r="P48" i="15"/>
  <c r="Q48" i="15" s="1"/>
  <c r="D33" i="15"/>
  <c r="W53" i="21"/>
  <c r="W55" i="21" s="1"/>
  <c r="X15" i="21"/>
  <c r="B33" i="15"/>
  <c r="F33" i="15" l="1"/>
  <c r="E29" i="15"/>
  <c r="F29" i="15" s="1"/>
  <c r="E25" i="15"/>
  <c r="F25" i="15" s="1"/>
  <c r="E26" i="15"/>
  <c r="F26" i="15" s="1"/>
  <c r="E33" i="15"/>
  <c r="E31" i="15"/>
  <c r="F31" i="15" s="1"/>
  <c r="E28" i="15"/>
  <c r="F28" i="15" s="1"/>
  <c r="Y51" i="21"/>
  <c r="Y47" i="21"/>
  <c r="Y50" i="21"/>
  <c r="Y46" i="21"/>
  <c r="Y34" i="21"/>
  <c r="Y30" i="21"/>
  <c r="Y52" i="21"/>
  <c r="Y48" i="21"/>
  <c r="Y45" i="21"/>
  <c r="Y39" i="21"/>
  <c r="Y49" i="21"/>
  <c r="Y44" i="21"/>
  <c r="Y43" i="21"/>
  <c r="Y42" i="21"/>
  <c r="H5" i="15"/>
  <c r="H4" i="15"/>
  <c r="Y53" i="21" l="1"/>
  <c r="Y55" i="21"/>
  <c r="Z30" i="21"/>
  <c r="O55" i="16"/>
  <c r="G52" i="16"/>
  <c r="G51" i="16"/>
  <c r="G50" i="16"/>
  <c r="G49" i="16"/>
  <c r="G48" i="16"/>
  <c r="G47" i="16"/>
  <c r="G46" i="16"/>
  <c r="G45" i="16"/>
  <c r="Q43" i="16"/>
  <c r="O43" i="16"/>
  <c r="F43" i="16"/>
  <c r="E43" i="16"/>
  <c r="G40" i="16"/>
  <c r="G39" i="16"/>
  <c r="G38" i="16"/>
  <c r="G37" i="16"/>
  <c r="G36" i="16"/>
  <c r="G35" i="16"/>
  <c r="G34" i="16"/>
  <c r="G33" i="16"/>
  <c r="Q31" i="16"/>
  <c r="O31" i="16"/>
  <c r="K31" i="16"/>
  <c r="F31" i="16"/>
  <c r="E31" i="16"/>
  <c r="G28" i="16"/>
  <c r="G27" i="16"/>
  <c r="G26" i="16"/>
  <c r="G25" i="16"/>
  <c r="G24" i="16"/>
  <c r="G23" i="16"/>
  <c r="G22" i="16"/>
  <c r="G21" i="16"/>
  <c r="Q19" i="16"/>
  <c r="R23" i="16" s="1"/>
  <c r="M19" i="16"/>
  <c r="I19" i="16"/>
  <c r="F19" i="16"/>
  <c r="E19" i="16"/>
  <c r="C19" i="16"/>
  <c r="S6" i="16"/>
  <c r="AA50" i="21" l="1"/>
  <c r="AA46" i="21"/>
  <c r="AA39" i="21"/>
  <c r="AD39" i="21" s="1"/>
  <c r="AA34" i="21"/>
  <c r="AA52" i="21"/>
  <c r="AF52" i="21" s="1"/>
  <c r="AA49" i="21"/>
  <c r="AA45" i="21"/>
  <c r="AA48" i="21"/>
  <c r="AA47" i="21"/>
  <c r="AA44" i="21"/>
  <c r="AA43" i="21"/>
  <c r="AA42" i="21"/>
  <c r="AA51" i="21"/>
  <c r="G43" i="16"/>
  <c r="H47" i="16" s="1"/>
  <c r="P33" i="16"/>
  <c r="R36" i="16"/>
  <c r="P37" i="16"/>
  <c r="R40" i="16"/>
  <c r="P59" i="16"/>
  <c r="P64" i="16"/>
  <c r="P46" i="16"/>
  <c r="P48" i="16"/>
  <c r="P50" i="16"/>
  <c r="P52" i="16"/>
  <c r="P60" i="16"/>
  <c r="L34" i="16"/>
  <c r="L10" i="16" s="1"/>
  <c r="L38" i="16"/>
  <c r="L14" i="16" s="1"/>
  <c r="P62" i="16"/>
  <c r="P34" i="16"/>
  <c r="P38" i="16"/>
  <c r="P45" i="16"/>
  <c r="P47" i="16"/>
  <c r="P49" i="16"/>
  <c r="P51" i="16"/>
  <c r="P58" i="16"/>
  <c r="P63" i="16"/>
  <c r="N28" i="16"/>
  <c r="N16" i="16" s="1"/>
  <c r="N24" i="16"/>
  <c r="N12" i="16" s="1"/>
  <c r="R27" i="16"/>
  <c r="J22" i="16"/>
  <c r="J10" i="16" s="1"/>
  <c r="D24" i="16"/>
  <c r="D12" i="16" s="1"/>
  <c r="J26" i="16"/>
  <c r="J14" i="16" s="1"/>
  <c r="D28" i="16"/>
  <c r="D16" i="16" s="1"/>
  <c r="R21" i="16"/>
  <c r="N22" i="16"/>
  <c r="N10" i="16" s="1"/>
  <c r="R25" i="16"/>
  <c r="N26" i="16"/>
  <c r="N14" i="16" s="1"/>
  <c r="D22" i="16"/>
  <c r="D10" i="16" s="1"/>
  <c r="J24" i="16"/>
  <c r="J12" i="16" s="1"/>
  <c r="D26" i="16"/>
  <c r="D14" i="16" s="1"/>
  <c r="J28" i="16"/>
  <c r="J16" i="16" s="1"/>
  <c r="G19" i="16"/>
  <c r="D21" i="16"/>
  <c r="D9" i="16" s="1"/>
  <c r="N21" i="16"/>
  <c r="N9" i="16" s="1"/>
  <c r="D23" i="16"/>
  <c r="D11" i="16" s="1"/>
  <c r="N23" i="16"/>
  <c r="N11" i="16" s="1"/>
  <c r="D25" i="16"/>
  <c r="D13" i="16" s="1"/>
  <c r="N25" i="16"/>
  <c r="N13" i="16" s="1"/>
  <c r="D27" i="16"/>
  <c r="D15" i="16" s="1"/>
  <c r="N27" i="16"/>
  <c r="N15" i="16" s="1"/>
  <c r="G31" i="16"/>
  <c r="H36" i="16" s="1"/>
  <c r="L33" i="16"/>
  <c r="L9" i="16" s="1"/>
  <c r="R35" i="16"/>
  <c r="P36" i="16"/>
  <c r="L37" i="16"/>
  <c r="L13" i="16" s="1"/>
  <c r="R39" i="16"/>
  <c r="P40" i="16"/>
  <c r="R33" i="16"/>
  <c r="L35" i="16"/>
  <c r="L11" i="16" s="1"/>
  <c r="R37" i="16"/>
  <c r="L39" i="16"/>
  <c r="L15" i="16" s="1"/>
  <c r="R45" i="16"/>
  <c r="R46" i="16"/>
  <c r="R47" i="16"/>
  <c r="R48" i="16"/>
  <c r="R49" i="16"/>
  <c r="R50" i="16"/>
  <c r="R51" i="16"/>
  <c r="R52" i="16"/>
  <c r="J21" i="16"/>
  <c r="J9" i="16" s="1"/>
  <c r="R22" i="16"/>
  <c r="J23" i="16"/>
  <c r="J11" i="16" s="1"/>
  <c r="R24" i="16"/>
  <c r="J25" i="16"/>
  <c r="J13" i="16" s="1"/>
  <c r="R26" i="16"/>
  <c r="J27" i="16"/>
  <c r="J15" i="16" s="1"/>
  <c r="R28" i="16"/>
  <c r="R34" i="16"/>
  <c r="P35" i="16"/>
  <c r="L36" i="16"/>
  <c r="L12" i="16" s="1"/>
  <c r="R38" i="16"/>
  <c r="P39" i="16"/>
  <c r="L40" i="16"/>
  <c r="L16" i="16" s="1"/>
  <c r="P57" i="16"/>
  <c r="P61" i="16"/>
  <c r="AA53" i="21" l="1"/>
  <c r="AA55" i="21" s="1"/>
  <c r="AB34" i="21"/>
  <c r="AE48" i="21"/>
  <c r="AE44" i="21"/>
  <c r="AE51" i="21"/>
  <c r="AE47" i="21"/>
  <c r="AE45" i="21"/>
  <c r="AE46" i="21"/>
  <c r="AE49" i="21"/>
  <c r="AE50" i="21"/>
  <c r="H50" i="16"/>
  <c r="H46" i="16"/>
  <c r="H49" i="16"/>
  <c r="H45" i="16"/>
  <c r="H52" i="16"/>
  <c r="H48" i="16"/>
  <c r="H51" i="16"/>
  <c r="P15" i="16"/>
  <c r="H33" i="16"/>
  <c r="R16" i="16"/>
  <c r="R12" i="16"/>
  <c r="P13" i="16"/>
  <c r="P9" i="16"/>
  <c r="H40" i="16"/>
  <c r="P43" i="16"/>
  <c r="P12" i="16"/>
  <c r="P14" i="16"/>
  <c r="P11" i="16"/>
  <c r="P16" i="16"/>
  <c r="H37" i="16"/>
  <c r="P10" i="16"/>
  <c r="H23" i="16"/>
  <c r="H25" i="16"/>
  <c r="R13" i="16"/>
  <c r="H27" i="16"/>
  <c r="R43" i="16"/>
  <c r="L31" i="16"/>
  <c r="L7" i="16"/>
  <c r="R15" i="16"/>
  <c r="N19" i="16"/>
  <c r="N7" i="16"/>
  <c r="P31" i="16"/>
  <c r="D19" i="16"/>
  <c r="J19" i="16"/>
  <c r="J7" i="16"/>
  <c r="R31" i="16"/>
  <c r="H28" i="16"/>
  <c r="H26" i="16"/>
  <c r="H24" i="16"/>
  <c r="H22" i="16"/>
  <c r="P55" i="16"/>
  <c r="H21" i="16"/>
  <c r="R19" i="16"/>
  <c r="R14" i="16"/>
  <c r="R10" i="16"/>
  <c r="R9" i="16"/>
  <c r="R11" i="16"/>
  <c r="H39" i="16"/>
  <c r="H35" i="16"/>
  <c r="H38" i="16"/>
  <c r="H34" i="16"/>
  <c r="AE53" i="21" l="1"/>
  <c r="AE55" i="21" s="1"/>
  <c r="AC49" i="21"/>
  <c r="AF49" i="21" s="1"/>
  <c r="AC45" i="21"/>
  <c r="AF45" i="21" s="1"/>
  <c r="AC48" i="21"/>
  <c r="AF48" i="21" s="1"/>
  <c r="AC44" i="21"/>
  <c r="AF44" i="21" s="1"/>
  <c r="AC43" i="21"/>
  <c r="AF43" i="21" s="1"/>
  <c r="AC42" i="21"/>
  <c r="AC50" i="21"/>
  <c r="AF50" i="21" s="1"/>
  <c r="AC47" i="21"/>
  <c r="AF47" i="21" s="1"/>
  <c r="AC51" i="21"/>
  <c r="AF51" i="21" s="1"/>
  <c r="AC46" i="21"/>
  <c r="AF46" i="21" s="1"/>
  <c r="H43" i="16"/>
  <c r="H12" i="16"/>
  <c r="H9" i="16"/>
  <c r="S9" i="16" s="1"/>
  <c r="H14" i="16"/>
  <c r="S14" i="16" s="1"/>
  <c r="H16" i="16"/>
  <c r="S16" i="16" s="1"/>
  <c r="H13" i="16"/>
  <c r="S13" i="16" s="1"/>
  <c r="P7" i="16"/>
  <c r="H15" i="16"/>
  <c r="S15" i="16" s="1"/>
  <c r="H11" i="16"/>
  <c r="S11" i="16" s="1"/>
  <c r="S12" i="16"/>
  <c r="H10" i="16"/>
  <c r="S10" i="16" s="1"/>
  <c r="H31" i="16"/>
  <c r="D7" i="16"/>
  <c r="H19" i="16"/>
  <c r="R7" i="16"/>
  <c r="AC53" i="21" l="1"/>
  <c r="AC55" i="21" s="1"/>
  <c r="AF42" i="21"/>
  <c r="AF53" i="21" s="1"/>
  <c r="AF55" i="21" s="1"/>
  <c r="T11" i="16"/>
  <c r="D12" i="11"/>
  <c r="T16" i="16"/>
  <c r="D17" i="11"/>
  <c r="T15" i="16"/>
  <c r="D16" i="11"/>
  <c r="T14" i="16"/>
  <c r="D15" i="11"/>
  <c r="T10" i="16"/>
  <c r="D11" i="11"/>
  <c r="T9" i="16"/>
  <c r="T7" i="16" s="1"/>
  <c r="D10" i="11"/>
  <c r="T12" i="16"/>
  <c r="D13" i="11"/>
  <c r="T13" i="16"/>
  <c r="D14" i="11"/>
  <c r="S7" i="16"/>
  <c r="H7" i="16"/>
  <c r="J18" i="15" l="1"/>
  <c r="F6" i="15" l="1"/>
  <c r="B6" i="15"/>
  <c r="H6" i="15" l="1"/>
  <c r="B19" i="11" l="1"/>
  <c r="C17" i="11"/>
  <c r="C16" i="11"/>
  <c r="C15" i="11"/>
  <c r="C14" i="11"/>
  <c r="C13" i="11"/>
  <c r="C12" i="11"/>
  <c r="C11" i="11"/>
  <c r="C10" i="11"/>
  <c r="D13" i="15" l="1"/>
  <c r="C18" i="15"/>
  <c r="D9" i="15"/>
  <c r="C19" i="11"/>
  <c r="D12" i="15"/>
  <c r="D16" i="15"/>
  <c r="D11" i="15"/>
  <c r="D15" i="15"/>
  <c r="D10" i="15"/>
  <c r="D14" i="15"/>
  <c r="B18" i="15" l="1"/>
  <c r="D18" i="15"/>
  <c r="C6" i="10"/>
  <c r="E11" i="11" l="1"/>
  <c r="F10" i="15" s="1"/>
  <c r="E13" i="11"/>
  <c r="F12" i="15" s="1"/>
  <c r="E12" i="11"/>
  <c r="F11" i="15" s="1"/>
  <c r="F12" i="11" l="1"/>
  <c r="F11" i="11"/>
  <c r="F13" i="11"/>
  <c r="E15" i="11"/>
  <c r="F14" i="15" s="1"/>
  <c r="E14" i="11"/>
  <c r="F13" i="15" s="1"/>
  <c r="E17" i="11"/>
  <c r="F16" i="15" s="1"/>
  <c r="E16" i="11"/>
  <c r="F15" i="15" s="1"/>
  <c r="G13" i="11" l="1"/>
  <c r="G12" i="11"/>
  <c r="G11" i="11"/>
  <c r="F17" i="11"/>
  <c r="F15" i="11"/>
  <c r="F16" i="11"/>
  <c r="F14" i="11"/>
  <c r="G11" i="15"/>
  <c r="G13" i="15"/>
  <c r="G14" i="15"/>
  <c r="G15" i="15"/>
  <c r="G12" i="15"/>
  <c r="G16" i="15"/>
  <c r="E10" i="11"/>
  <c r="F9" i="15" s="1"/>
  <c r="G9" i="15" s="1"/>
  <c r="D19" i="11"/>
  <c r="H31" i="15" l="1"/>
  <c r="I31" i="15"/>
  <c r="H27" i="15"/>
  <c r="I27" i="15"/>
  <c r="H26" i="15"/>
  <c r="I26" i="15"/>
  <c r="H30" i="15"/>
  <c r="I30" i="15"/>
  <c r="H29" i="15"/>
  <c r="I29" i="15"/>
  <c r="H28" i="15"/>
  <c r="I28" i="15"/>
  <c r="G16" i="11"/>
  <c r="G15" i="11"/>
  <c r="G17" i="11"/>
  <c r="G14" i="11"/>
  <c r="H16" i="15"/>
  <c r="I16" i="15" s="1"/>
  <c r="H12" i="15"/>
  <c r="I12" i="15" s="1"/>
  <c r="H15" i="15"/>
  <c r="I15" i="15" s="1"/>
  <c r="H13" i="15"/>
  <c r="I13" i="15" s="1"/>
  <c r="H11" i="15"/>
  <c r="I11" i="15" s="1"/>
  <c r="H14" i="15"/>
  <c r="I14" i="15" s="1"/>
  <c r="G10" i="15"/>
  <c r="I25" i="15" s="1"/>
  <c r="H9" i="15"/>
  <c r="E18" i="15"/>
  <c r="F10" i="11"/>
  <c r="E19" i="11"/>
  <c r="H24" i="15" l="1"/>
  <c r="I24" i="15"/>
  <c r="G33" i="15"/>
  <c r="H25" i="15"/>
  <c r="G10" i="11"/>
  <c r="H10" i="15"/>
  <c r="I10" i="15" s="1"/>
  <c r="F18" i="15"/>
  <c r="G18" i="15"/>
  <c r="F19" i="11"/>
  <c r="G19" i="11" s="1"/>
  <c r="I9" i="15"/>
  <c r="H33" i="15" l="1"/>
  <c r="H18" i="15"/>
  <c r="I18" i="15" l="1"/>
</calcChain>
</file>

<file path=xl/comments1.xml><?xml version="1.0" encoding="utf-8"?>
<comments xmlns="http://schemas.openxmlformats.org/spreadsheetml/2006/main">
  <authors>
    <author>Hana Kropáčková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alternativa ukazatele MŠMT - nerozdělovali jsme na fixní a výkonovoučást</t>
        </r>
      </text>
    </comment>
  </commentList>
</comments>
</file>

<file path=xl/comments2.xml><?xml version="1.0" encoding="utf-8"?>
<comments xmlns="http://schemas.openxmlformats.org/spreadsheetml/2006/main">
  <authors>
    <author>Hana Kropáčková</author>
  </authors>
  <commentList>
    <comment ref="S5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jako 2017 plus talár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náprava opomenutí po odeslání rozpočtu EK AS: právní útvar doplněn dodatečně do provozní části; potřebuje 32 000 Kč na rok; sníženy osobní náklady na úkor nové právní síly</t>
        </r>
      </text>
    </comment>
    <comment ref="S12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vč.vybavení IT pro druhého kvestora</t>
        </r>
      </text>
    </comment>
    <comment ref="S13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nově zde náklady na stravné všech zaměstnanců R (bez projektů)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nad rámec běžného rozpočtu: 595 tis. Kč - nábytek, malování atd.-viz rozpis SÚB</t>
        </r>
      </text>
    </comment>
    <comment ref="S15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jako loni - bez stravenek</t>
        </r>
      </text>
    </comment>
    <comment ref="S16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jako loni - bez stravenek</t>
        </r>
      </text>
    </comment>
    <comment ref="R22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viz komentář u osobních nákladů</t>
        </r>
      </text>
    </comment>
    <comment ref="S23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navíc: baíčky náborové inzerce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služba místo plánovaného celého úvazku vlastního zaměstnance</t>
        </r>
      </text>
    </comment>
    <comment ref="S31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mzdy rozpočtovány společně s ostatními běžnými zaměstnanci rektorátu</t>
        </r>
      </text>
    </comment>
    <comment ref="S50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nutná rezerva - škodní průběh velice špatný, obava z výpovědi smlouvy</t>
        </r>
      </text>
    </comment>
    <comment ref="S51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100 tis. Kč rezervy - v případě schválení bude sledováno účetně samostatně</t>
        </r>
      </text>
    </comment>
    <comment ref="S63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probíhají jednání o nové smlouvě - tj. rezerva</t>
        </r>
      </text>
    </comment>
    <comment ref="S64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obnova maj.z vlastních zdrojů - vyšší odpisy tvořící FRIM</t>
        </r>
      </text>
    </comment>
    <comment ref="V65" authorId="0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vč.prodeje propag.předmětů - z něj zdroje na krytí</t>
        </r>
      </text>
    </comment>
  </commentList>
</comments>
</file>

<file path=xl/comments3.xml><?xml version="1.0" encoding="utf-8"?>
<comments xmlns="http://schemas.openxmlformats.org/spreadsheetml/2006/main">
  <authors>
    <author>hkropack</author>
    <author>Hana Kropáčková</author>
    <author>donatova</author>
    <author>ipeckova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hkropack:</t>
        </r>
        <r>
          <rPr>
            <sz val="9"/>
            <color indexed="81"/>
            <rFont val="Tahoma"/>
            <family val="2"/>
            <charset val="238"/>
          </rPr>
          <t xml:space="preserve">
vč. HelpDesku</t>
        </r>
      </text>
    </comment>
    <comment ref="M9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do VaV</t>
        </r>
      </text>
    </comment>
    <comment ref="D13" authorId="2" shapeId="0">
      <text>
        <r>
          <rPr>
            <b/>
            <sz val="8"/>
            <color indexed="81"/>
            <rFont val="Tahoma"/>
            <family val="2"/>
            <charset val="238"/>
          </rPr>
          <t>donatova:</t>
        </r>
        <r>
          <rPr>
            <sz val="8"/>
            <color indexed="81"/>
            <rFont val="Tahoma"/>
            <family val="2"/>
            <charset val="238"/>
          </rPr>
          <t xml:space="preserve">
včetně 010113</t>
        </r>
      </text>
    </comment>
    <comment ref="F13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rektora</t>
        </r>
      </text>
    </comment>
    <comment ref="M13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z OsN kanceláře + OsN rektora - do VaV, bez podatelny</t>
        </r>
      </text>
    </comment>
    <comment ref="O13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autoprovozu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hkropack:</t>
        </r>
        <r>
          <rPr>
            <sz val="9"/>
            <color indexed="81"/>
            <rFont val="Tahoma"/>
            <family val="2"/>
            <charset val="238"/>
          </rPr>
          <t xml:space="preserve">
vč. prorektora</t>
        </r>
      </text>
    </comment>
    <comment ref="M17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do rozpadu 2018 - jen prorektor</t>
        </r>
      </text>
    </comment>
    <comment ref="F18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prorektorky</t>
        </r>
      </text>
    </comment>
    <comment ref="M18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vč. prorektorky</t>
        </r>
      </text>
    </comment>
    <comment ref="M19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jen prorektor</t>
        </r>
      </text>
    </comment>
    <comment ref="M21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do VaV</t>
        </r>
      </text>
    </comment>
    <comment ref="F2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prorektora, bez CPSSP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vč. prorektora</t>
        </r>
      </text>
    </comment>
    <comment ref="M24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chyba při konstrukci rozpočtu: zapomnělajsem na 010115; do provozu chtějí 32000; ve mzdách je rezerva s ohledem na trochu nižší požadovanou mzdu, než je zapracováno v rozpočtu osobních nákladů; takže přímé osobní náklady o to sníženy !!!</t>
        </r>
      </text>
    </comment>
    <comment ref="M25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do VaV</t>
        </r>
      </text>
    </comment>
    <comment ref="M28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včetně BC, GC</t>
        </r>
      </text>
    </comment>
    <comment ref="L32" authorId="3" shapeId="0">
      <text>
        <r>
          <rPr>
            <b/>
            <sz val="9"/>
            <color indexed="81"/>
            <rFont val="Tahoma"/>
            <family val="2"/>
            <charset val="238"/>
          </rPr>
          <t>ipeckova:</t>
        </r>
        <r>
          <rPr>
            <sz val="9"/>
            <color indexed="81"/>
            <rFont val="Tahoma"/>
            <family val="2"/>
            <charset val="238"/>
          </rPr>
          <t xml:space="preserve">
vložit přepočtený stav z REK
</t>
        </r>
      </text>
    </comment>
    <comment ref="M3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30% do VaV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38"/>
          </rPr>
          <t>hkropack:</t>
        </r>
        <r>
          <rPr>
            <sz val="9"/>
            <color indexed="81"/>
            <rFont val="Tahoma"/>
            <family val="2"/>
            <charset val="238"/>
          </rPr>
          <t xml:space="preserve">
vč. prorektora</t>
        </r>
      </text>
    </comment>
    <comment ref="M36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s prorektorem</t>
        </r>
      </text>
    </comment>
    <comment ref="AD39" authorId="3" shapeId="0">
      <text>
        <r>
          <rPr>
            <b/>
            <sz val="9"/>
            <color indexed="81"/>
            <rFont val="Tahoma"/>
            <family val="2"/>
            <charset val="238"/>
          </rPr>
          <t>ipeckova:</t>
        </r>
        <r>
          <rPr>
            <sz val="9"/>
            <color indexed="81"/>
            <rFont val="Tahoma"/>
            <family val="2"/>
            <charset val="238"/>
          </rPr>
          <t xml:space="preserve">
ipeckova:
REK počet PEP úvazků
FAK počet doktoramdů a PEP úvazků</t>
        </r>
      </text>
    </comment>
    <comment ref="F5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s ohledem na relativní samostatnost KaM - koeficient 0,5</t>
        </r>
      </text>
    </comment>
    <comment ref="G52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s ohledem na relativní samostatnost KaM - koeficient 0,5</t>
        </r>
      </text>
    </comment>
    <comment ref="M57" authorId="1" shapeId="0">
      <text>
        <r>
          <rPr>
            <b/>
            <sz val="8"/>
            <color indexed="81"/>
            <rFont val="Tahoma"/>
            <family val="2"/>
            <charset val="238"/>
          </rPr>
          <t>Hana Kropáčková:</t>
        </r>
        <r>
          <rPr>
            <sz val="8"/>
            <color indexed="81"/>
            <rFont val="Tahoma"/>
            <family val="2"/>
            <charset val="238"/>
          </rPr>
          <t xml:space="preserve">
viz komentář u právního útvaru</t>
        </r>
      </text>
    </comment>
  </commentList>
</comments>
</file>

<file path=xl/sharedStrings.xml><?xml version="1.0" encoding="utf-8"?>
<sst xmlns="http://schemas.openxmlformats.org/spreadsheetml/2006/main" count="1168" uniqueCount="442">
  <si>
    <t>v Kč</t>
  </si>
  <si>
    <t xml:space="preserve">C e l k e m </t>
  </si>
  <si>
    <t>Graduation rate</t>
  </si>
  <si>
    <t>Vyslaní a přijatí studentu v rámci mobilitních programů</t>
  </si>
  <si>
    <t>Zaměstnanost absolventů</t>
  </si>
  <si>
    <t>Výsledky výzkumu, vývoje a inovací (body RIV)</t>
  </si>
  <si>
    <t>Výsledky umělecké činnosti (body RUV)</t>
  </si>
  <si>
    <t>Podíl cizinců</t>
  </si>
  <si>
    <t>Podíl na výkonové části v rámci segmentu (v %)</t>
  </si>
  <si>
    <t>Podíl na výkonové části v rámci všech VVŠ (v%)</t>
  </si>
  <si>
    <t xml:space="preserve">Vyslaní </t>
  </si>
  <si>
    <t>Přijatí</t>
  </si>
  <si>
    <t>Celkem</t>
  </si>
  <si>
    <t>Pedagogové</t>
  </si>
  <si>
    <t>Váhy parametrů</t>
  </si>
  <si>
    <t>2016</t>
  </si>
  <si>
    <t>2015</t>
  </si>
  <si>
    <t>2014</t>
  </si>
  <si>
    <t>2017</t>
  </si>
  <si>
    <t>Objem prostředků ve fixní části na rok 2018</t>
  </si>
  <si>
    <t>Kč</t>
  </si>
  <si>
    <t>v %</t>
  </si>
  <si>
    <t>Podíl bez uměleckých VVŠ (UVVŠ)</t>
  </si>
  <si>
    <t>Podíl bez uměleckých VVŠ (UVVŠ) a neuniverzitních VVŠ</t>
  </si>
  <si>
    <t>Podíl neun. VVŠ</t>
  </si>
  <si>
    <t xml:space="preserve">Změna podílů je z důvodu zvýšení podílu UVVŠ na celku z 3,5 % v r. 2015 na 4,0 % v r. 2017 </t>
  </si>
  <si>
    <t>Podíly pro UVVŠ v rámci dohodnutých 4,0 % jsou stanoveny dle návrhu rektorů UVVŠ z 20. 10. 2016</t>
  </si>
  <si>
    <t>Částka k rozdělení 2018:</t>
  </si>
  <si>
    <t>Částka k rozdělení 2017:</t>
  </si>
  <si>
    <t>Podíl na celku dle výpočtu z rozpočtu 2017</t>
  </si>
  <si>
    <t>a</t>
  </si>
  <si>
    <t>b</t>
  </si>
  <si>
    <t>c</t>
  </si>
  <si>
    <t>d</t>
  </si>
  <si>
    <t>f=d-b</t>
  </si>
  <si>
    <t>g=f/b</t>
  </si>
  <si>
    <t>Prostředky na ukazatel A pro rok 2017</t>
  </si>
  <si>
    <t>Prostředky na ukazatel A pro rok 2018</t>
  </si>
  <si>
    <t>Prostředky na ukazatel K pro rok 2017</t>
  </si>
  <si>
    <t>Prostředky na ukazatel K pro rok 2018</t>
  </si>
  <si>
    <t>Objem prostředků A+K 2018</t>
  </si>
  <si>
    <t>Externí příjmy VŠ spojené se vzdělávací a tvůrčí činností</t>
  </si>
  <si>
    <t>Krácení prostředků *)</t>
  </si>
  <si>
    <t>*) Uplatnění čl. 10 odst. 7 Pravidel</t>
  </si>
  <si>
    <t>Změna podílů pro rok 2018 je z důvodu zvýšení podílu segmentu 2 (VŠPJ na 0,58% a VŠTE na 0,82%) na úkor segmentů 3 a 4.</t>
  </si>
  <si>
    <t>EF</t>
  </si>
  <si>
    <t>FF</t>
  </si>
  <si>
    <t>FROV</t>
  </si>
  <si>
    <t>PF</t>
  </si>
  <si>
    <t>PřF</t>
  </si>
  <si>
    <t>TF</t>
  </si>
  <si>
    <t>ZSF</t>
  </si>
  <si>
    <t>ZF</t>
  </si>
  <si>
    <t>fakulta</t>
  </si>
  <si>
    <t>Filozofická fakulta</t>
  </si>
  <si>
    <t>Ekonomická fakulta</t>
  </si>
  <si>
    <t>Fakulta rybářství a ochrany vod</t>
  </si>
  <si>
    <t>Pedagogická fakulta</t>
  </si>
  <si>
    <t>Přírodovědecká fakulta</t>
  </si>
  <si>
    <t>Teologická fakulta</t>
  </si>
  <si>
    <t>Zdravotně sociální fakulta</t>
  </si>
  <si>
    <t>Zemědělská fakulta</t>
  </si>
  <si>
    <t>Objem prostředků příspěvku "A+K" na rok 2017</t>
  </si>
  <si>
    <t>Objem prostředků A+K 2017 (odpovídá skutečnosti)</t>
  </si>
  <si>
    <t>Rozdíl objemu prostředků A+K mezi roky 2017 - 2018</t>
  </si>
  <si>
    <t>Relativní rozdíl objemu prostředků A+K mezi roky 2017 - 2018</t>
  </si>
  <si>
    <t>nárůsty</t>
  </si>
  <si>
    <t>Uplatnění metodiky rozdělení rozpočtu JU 2018</t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</si>
  <si>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A+K</t>
    </r>
  </si>
  <si>
    <t>kritérium</t>
  </si>
  <si>
    <t>SUMA</t>
  </si>
  <si>
    <t>RIV + RUV</t>
  </si>
  <si>
    <t>TOP publ.</t>
  </si>
  <si>
    <t>habil.</t>
  </si>
  <si>
    <t>stud. mob.</t>
  </si>
  <si>
    <t>ext. příjmy</t>
  </si>
  <si>
    <t>STAG</t>
  </si>
  <si>
    <t>GR</t>
  </si>
  <si>
    <t>váha</t>
  </si>
  <si>
    <t>hodnocení</t>
  </si>
  <si>
    <t>výsledek</t>
  </si>
  <si>
    <t>bonus</t>
  </si>
  <si>
    <t>xxx</t>
  </si>
  <si>
    <t>Výsledek hodnocení</t>
  </si>
  <si>
    <t>Objem fixní části 2018 - "A"</t>
  </si>
  <si>
    <t>Objem výkonové části 2018 - "K"</t>
  </si>
  <si>
    <t>JU celkem</t>
  </si>
  <si>
    <t>Podíl na ukazateli A+K 2016</t>
  </si>
  <si>
    <t>Podíl na ukazateli A+K 2017</t>
  </si>
  <si>
    <t>Podíl na fixní části 2018</t>
  </si>
  <si>
    <t>Objem prostředků fixní části 2018</t>
  </si>
  <si>
    <t>Podíl na celku dle výpočtu 2018  *)</t>
  </si>
  <si>
    <t>2 % na fond mimořádných aktivit ve VaV</t>
  </si>
  <si>
    <t>8 % k rozdělení podle grantů</t>
  </si>
  <si>
    <t>90 % k rozdělení podle bodů RIV z hodnocení 2016</t>
  </si>
  <si>
    <t>body RIV - hodnocení 2016</t>
  </si>
  <si>
    <t>objem grantů (Kč)</t>
  </si>
  <si>
    <t>počet grantů</t>
  </si>
  <si>
    <t>prostředky RVO podle RIV 2016 (Kč)</t>
  </si>
  <si>
    <t>prostředky RVO podle grantů (Kč)</t>
  </si>
  <si>
    <t>dotace RVO 2018 celkem (Kč)</t>
  </si>
  <si>
    <t>dotace RVO 2017 (Kč)</t>
  </si>
  <si>
    <t>celkem fakulty</t>
  </si>
  <si>
    <t>Fond mimořádných aktivt ve VaV</t>
  </si>
  <si>
    <t>příspěvek "A + K" 2018 (Kč)</t>
  </si>
  <si>
    <t>Fond mimořádných aktivit ve VaV</t>
  </si>
  <si>
    <t>institucionální zdroje 2018 celkem (Kč)</t>
  </si>
  <si>
    <t>příspěvek "A + K" 2017 (Kč)</t>
  </si>
  <si>
    <t>dotace RVO 2017 celkem (Kč)</t>
  </si>
  <si>
    <t>institucionální zdroje 2017 celkem (Kč)</t>
  </si>
  <si>
    <t>rozdíl celkových zdrojů 2018 - 2017</t>
  </si>
  <si>
    <t>R a AK</t>
  </si>
  <si>
    <t>porovnání dotace 2018 s dotací 2017 (Kč)</t>
  </si>
  <si>
    <t>porovnání dotace 2018 s dotací 2017 (%)</t>
  </si>
  <si>
    <t>institucionální zdroje 2017 po zvýšení celkem (Kč)</t>
  </si>
  <si>
    <t>Rozpočet R a AK pro alokaci zdrojů</t>
  </si>
  <si>
    <t>podíl R a AK na celkových institucionálních zdrojích</t>
  </si>
  <si>
    <t>list</t>
  </si>
  <si>
    <t>1.2 Objemy A JU</t>
  </si>
  <si>
    <t>1 Objemy A+K JU</t>
  </si>
  <si>
    <t>1.3 Objemy K JU</t>
  </si>
  <si>
    <t>2 Dotace na RVO 2018</t>
  </si>
  <si>
    <t>3 Rekapituace</t>
  </si>
  <si>
    <t>rok 2016</t>
  </si>
  <si>
    <t>srovnání</t>
  </si>
  <si>
    <t>návrh - rok 2017 (tis. Kč)</t>
  </si>
  <si>
    <t xml:space="preserve"> (tis. Kč)schváleno - rok 2017</t>
  </si>
  <si>
    <t>návrh - rok 2018 (tis. Kč)</t>
  </si>
  <si>
    <t>popis rozpočtového úseku</t>
  </si>
  <si>
    <t>označení akce v IS</t>
  </si>
  <si>
    <t>požadavky na rok 2016</t>
  </si>
  <si>
    <t>změna 2017 proti 2016 (rozpad)</t>
  </si>
  <si>
    <t>požadavky na rok 2017 celkem</t>
  </si>
  <si>
    <t>požadavky vstupující do rozpadu 2017</t>
  </si>
  <si>
    <t>požadavky kryté "účelovými" zdroji 2017</t>
  </si>
  <si>
    <t>požadavky odhadované - na nové aktivity 2017</t>
  </si>
  <si>
    <t>požadavky kryté vl.zdroji R 2017</t>
  </si>
  <si>
    <t>požadavky na fond 2017</t>
  </si>
  <si>
    <t>potřeby rok 2017 celkem</t>
  </si>
  <si>
    <t>náklady vstupující do rozpadu 2017</t>
  </si>
  <si>
    <t>náklady kryté "účelovými" zdroji 2017</t>
  </si>
  <si>
    <t>náklady odhadované - na nové aktivity 2017</t>
  </si>
  <si>
    <t>náklady kryté vl.zdroji R 2017</t>
  </si>
  <si>
    <t>náklady kryté fondem 2017</t>
  </si>
  <si>
    <t>požadavky na rok 2018 celkem</t>
  </si>
  <si>
    <t>požadavky vstupující do rozpadu 2018</t>
  </si>
  <si>
    <t>požadavky kryté "účelovými" zdroji 2018</t>
  </si>
  <si>
    <t>požadavky odhadované - na nové aktivity 2018</t>
  </si>
  <si>
    <t>požadavky kryté vl.zdroji R 2018</t>
  </si>
  <si>
    <t>požadavky na fond 2018</t>
  </si>
  <si>
    <t>kancelář rektora</t>
  </si>
  <si>
    <t>01-100 provoz KR</t>
  </si>
  <si>
    <t>osobní náklady rektorátních útvarů</t>
  </si>
  <si>
    <t>01-1001 osobní náklady</t>
  </si>
  <si>
    <t>útvar vnějších vztahů a komunikace</t>
  </si>
  <si>
    <t>01-101 provoz OVVKP</t>
  </si>
  <si>
    <t>zahraniční útvar</t>
  </si>
  <si>
    <t>01-102 provoz ZO</t>
  </si>
  <si>
    <t>útvar rozvoje</t>
  </si>
  <si>
    <t>01-103 provoz OR</t>
  </si>
  <si>
    <t>útvar VaV</t>
  </si>
  <si>
    <t>01-104 provoz VaV</t>
  </si>
  <si>
    <t>náklady na jednání Vědecké rady JU</t>
  </si>
  <si>
    <t>Vědecká rada JU</t>
  </si>
  <si>
    <t>sekretariát kvestora</t>
  </si>
  <si>
    <t>01-105 provoz sekr. kvest.</t>
  </si>
  <si>
    <t>ekonomický odbor</t>
  </si>
  <si>
    <t>01-106 provoz EKO a další (společné náklady R)</t>
  </si>
  <si>
    <t>správa  údržba budov</t>
  </si>
  <si>
    <t>01-107 provoz SÚB</t>
  </si>
  <si>
    <t>útvar pro studium</t>
  </si>
  <si>
    <t>01-108 provoz OSČ</t>
  </si>
  <si>
    <t>útvar pro CŽV</t>
  </si>
  <si>
    <t>01-109 provoz OCŽV</t>
  </si>
  <si>
    <t>útvar veřejných zakázek</t>
  </si>
  <si>
    <t>01-110 provoz oddělení VZ</t>
  </si>
  <si>
    <t>útvar kancléře</t>
  </si>
  <si>
    <t>01-111 provoz útvar kancléře</t>
  </si>
  <si>
    <t>útvar marketingu</t>
  </si>
  <si>
    <t>01-112 provoz útvaru marketingu</t>
  </si>
  <si>
    <t>útvar inter.auditu a kontroly</t>
  </si>
  <si>
    <t>01-113 provoz útvaru inter.aud. a kontr.</t>
  </si>
  <si>
    <t>útvar pro vnitřní hodnocení</t>
  </si>
  <si>
    <t>01-119 provoz útvaru pro vnitř.hodnocení</t>
  </si>
  <si>
    <t>právní útvar</t>
  </si>
  <si>
    <t>01-115 provoz právního útvaru</t>
  </si>
  <si>
    <t>personální útvar</t>
  </si>
  <si>
    <t>01-116 provoz personálního útvaru</t>
  </si>
  <si>
    <t>útvaru spisové služby a podatelny</t>
  </si>
  <si>
    <t>01-117 provoz útvaru SPSL a podatelny</t>
  </si>
  <si>
    <t>Kancelář transferu technologií</t>
  </si>
  <si>
    <t>01-118 provoz KTT</t>
  </si>
  <si>
    <t>útvar dopravy</t>
  </si>
  <si>
    <t>01-200 provoz dopravy</t>
  </si>
  <si>
    <t>investiční odbor</t>
  </si>
  <si>
    <t>01-300 provoz inv.odd.</t>
  </si>
  <si>
    <t>energetický management</t>
  </si>
  <si>
    <t>01-300 energetický management</t>
  </si>
  <si>
    <t>útvar správy nemovitostí</t>
  </si>
  <si>
    <t>01-3002 správa nemovitostí</t>
  </si>
  <si>
    <t>společná pracoviště CIT</t>
  </si>
  <si>
    <t>01-400 spol.provoz CIT (APS,SIS,IPS)</t>
  </si>
  <si>
    <t>Helpdesk CIT</t>
  </si>
  <si>
    <t>01-4002 Helpdesk CIT</t>
  </si>
  <si>
    <t>Britské centrum</t>
  </si>
  <si>
    <t>01-510 provoz Britské rady</t>
  </si>
  <si>
    <t>Goethe Zentrum</t>
  </si>
  <si>
    <t>01-520 provoz Goethe Centra</t>
  </si>
  <si>
    <t>odpisy</t>
  </si>
  <si>
    <t>01-551 odpisy</t>
  </si>
  <si>
    <t>právní služby</t>
  </si>
  <si>
    <t>11 Právní služby</t>
  </si>
  <si>
    <t>údržba areálu JU</t>
  </si>
  <si>
    <t>11-01 Údržba areálu</t>
  </si>
  <si>
    <t>kácení a výsadba, vrt  - areál</t>
  </si>
  <si>
    <t>11-01a Mimoř.údržba a práce - areál</t>
  </si>
  <si>
    <t>provozní náklady objektu auly JU</t>
  </si>
  <si>
    <t>11-02 Provoz Bobíku</t>
  </si>
  <si>
    <t>nájmy pozemků v kampusu JU</t>
  </si>
  <si>
    <t>11-03 Nájmy pozemků</t>
  </si>
  <si>
    <t>celouniverzitní akce</t>
  </si>
  <si>
    <t>11-0400 Celouniverzitní akce</t>
  </si>
  <si>
    <t>daňové poradenství a účetní audit (2016)</t>
  </si>
  <si>
    <t>11-0401 Daňové a porad. služby</t>
  </si>
  <si>
    <t>veletrh vzdělávání Gaudeamus</t>
  </si>
  <si>
    <t>11-0402 Gaudeamus</t>
  </si>
  <si>
    <t>bank.poplatky a kurz.rozdíly Erasmus</t>
  </si>
  <si>
    <t>11-0409 Erasmus LLP</t>
  </si>
  <si>
    <t>předměty pro reprezentaci JU</t>
  </si>
  <si>
    <t>11-0413 Propagační předměty</t>
  </si>
  <si>
    <t>společenské akce vč.oslav 25.výročí</t>
  </si>
  <si>
    <t>11-0416 Společenské akce</t>
  </si>
  <si>
    <t>ples JU</t>
  </si>
  <si>
    <t>11-12 Ples JU</t>
  </si>
  <si>
    <t>časopis JU - Journal</t>
  </si>
  <si>
    <t>11-05 Časopis Journal</t>
  </si>
  <si>
    <t>telefonní sítě JU</t>
  </si>
  <si>
    <t>11-06 Telef.ústředna</t>
  </si>
  <si>
    <t>rezerva rektorátu</t>
  </si>
  <si>
    <t>01-990 rezerva rektorát</t>
  </si>
  <si>
    <t>pojištění JU</t>
  </si>
  <si>
    <t>11-18 Pojištění JU</t>
  </si>
  <si>
    <t>propagace JU</t>
  </si>
  <si>
    <t>11-22 Reklamní kampaně (dř. Propagace)</t>
  </si>
  <si>
    <t>fotobanka JU</t>
  </si>
  <si>
    <t>11-Fotobanka, videobanka</t>
  </si>
  <si>
    <t>monitoring médií</t>
  </si>
  <si>
    <t>11-Monitoring a analýzy (dř. Monitoring médií)</t>
  </si>
  <si>
    <t>PR články</t>
  </si>
  <si>
    <t>11-PR články</t>
  </si>
  <si>
    <t>vizuální styl</t>
  </si>
  <si>
    <t>11-Vizuální styl</t>
  </si>
  <si>
    <t>výstavy JU, veletrhy s účastí JU</t>
  </si>
  <si>
    <t>11-Veletrhy a výstavy</t>
  </si>
  <si>
    <t>podpora studentských spolků</t>
  </si>
  <si>
    <t>112 - Studentské spolky</t>
  </si>
  <si>
    <t>finanční informační systém</t>
  </si>
  <si>
    <t>13-01 FIS</t>
  </si>
  <si>
    <t>připojení k sítí CESNET - část vzděláv.</t>
  </si>
  <si>
    <t>13-02 CESNET</t>
  </si>
  <si>
    <t>software a sítě JU</t>
  </si>
  <si>
    <t>13-03 Software a sítě JU</t>
  </si>
  <si>
    <t>studijní IS STAG</t>
  </si>
  <si>
    <t>13-06 STAG</t>
  </si>
  <si>
    <t>personální a mzdový IS</t>
  </si>
  <si>
    <t>13-13 EGJE</t>
  </si>
  <si>
    <t>IS pro parportizaci a správu majetku AMI</t>
  </si>
  <si>
    <t>13-16 AMI</t>
  </si>
  <si>
    <t>odpisy AK JU</t>
  </si>
  <si>
    <t>prodejna skript - z rozpočtu AK JU</t>
  </si>
  <si>
    <t>01-600 provoz prodejny</t>
  </si>
  <si>
    <t>AK JU</t>
  </si>
  <si>
    <t>01-900 provoz AK JU</t>
  </si>
  <si>
    <t>osobní náklady AK JU</t>
  </si>
  <si>
    <t>01-9001 osobní náklady</t>
  </si>
  <si>
    <t>informační systém pro VaV</t>
  </si>
  <si>
    <t>OBD</t>
  </si>
  <si>
    <t>AK JU - podpora VaV činností</t>
  </si>
  <si>
    <t>RVO Akademická knihovna JU</t>
  </si>
  <si>
    <t>AK JU - databáze</t>
  </si>
  <si>
    <t>připojení k sítí CESNET - část VaV</t>
  </si>
  <si>
    <t>RVO CESNET</t>
  </si>
  <si>
    <t>RVO Rektorát KTT</t>
  </si>
  <si>
    <t>Rektorátní útvary - podpora VaV</t>
  </si>
  <si>
    <t>RVO Rektorát EKO</t>
  </si>
  <si>
    <t>RVO Rektorát SIS</t>
  </si>
  <si>
    <t>RVO Rektorát VaV</t>
  </si>
  <si>
    <t>celkem</t>
  </si>
  <si>
    <t>meziroční změna v tis. Kč</t>
  </si>
  <si>
    <t>meziroční změna v %</t>
  </si>
  <si>
    <t>zvýšení rozpočtu R a AK 2016, resp. 2017 - rozpočtová úprava 10/2016, resp. 5/2017</t>
  </si>
  <si>
    <t>kofinance OP VVV - předpoklad (pokrýt z úspor z mezd hrazených z projektů)</t>
  </si>
  <si>
    <t>4 Návrh R a AK 2018</t>
  </si>
  <si>
    <t>Součást</t>
  </si>
  <si>
    <t>Nákladové středisko</t>
  </si>
  <si>
    <t>Poznámka k NS</t>
  </si>
  <si>
    <t>Odpovídající číslo NS z IS i FIS</t>
  </si>
  <si>
    <r>
      <t>Plocha (m</t>
    </r>
    <r>
      <rPr>
        <vertAlign val="superscript"/>
        <sz val="8"/>
        <color theme="0"/>
        <rFont val="Arial"/>
        <family val="2"/>
        <charset val="238"/>
      </rPr>
      <t>2</t>
    </r>
    <r>
      <rPr>
        <sz val="8"/>
        <color theme="0"/>
        <rFont val="Arial"/>
        <family val="2"/>
        <charset val="238"/>
      </rPr>
      <t>) (AMI)</t>
    </r>
  </si>
  <si>
    <t>Fyzický počet zaměstnanců k 31.12.2017</t>
  </si>
  <si>
    <t>Průměrný evidenční přepočtený počet zaměstnanců 2017</t>
  </si>
  <si>
    <t>Počet studentů prezenčního studia - SIMS k 31.12.2017</t>
  </si>
  <si>
    <t>Počet studentů kombin. studia - SIMS k 31.12.2017</t>
  </si>
  <si>
    <t>Počet grantů (předchozích 5 let - 2013 až 2017)</t>
  </si>
  <si>
    <t>Objem grantů (předchozích 5 let - 2013 až 2017) v tis. Kč</t>
  </si>
  <si>
    <t>přepočtené úvazky na vědu a výzkum</t>
  </si>
  <si>
    <t>Přímé náklady osobní</t>
  </si>
  <si>
    <t>Přímé náklady věcné</t>
  </si>
  <si>
    <t>z toho odpisy</t>
  </si>
  <si>
    <t>Přímé náklady CELKEM vč. odpisů</t>
  </si>
  <si>
    <t>Přímé náklady CELKEM bez odpisů</t>
  </si>
  <si>
    <t>Nesouvisející náklady (nevstupují do modelu full-cost)</t>
  </si>
  <si>
    <t>kontrola součtu přímých nákladů pro NS</t>
  </si>
  <si>
    <t>Součet nákladů pro rozpad SUB</t>
  </si>
  <si>
    <r>
      <t>Krok 2                                           rozpad SUB bez odpisů (m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</si>
  <si>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t xml:space="preserve">Součet nákladů pro rozpad ICT </t>
  </si>
  <si>
    <t>Krok 3                            Rozpad ICT (celkový počet zaměstnanci + studenti (P+0,5K)</t>
  </si>
  <si>
    <t>Součet nákladů pro rozpad kancelář rektora</t>
  </si>
  <si>
    <t>Krok 4                            Rozpad kanceláře rektora (PEP)</t>
  </si>
  <si>
    <t>Součet nákladů pro rozpad ostatní oddělení rektorátu</t>
  </si>
  <si>
    <t>Krok 5                    rozpad ostatních oddělení REK (PEP)</t>
  </si>
  <si>
    <t>Součet nákladů pro rozpad knihovna (celkový počet zaměstnanci + studenti (P+0,5K)</t>
  </si>
  <si>
    <t>Krok 6                   rozpad Knihovny</t>
  </si>
  <si>
    <t>Součet nákladů pro rozpad VaV (úvazky na VaV, granty)</t>
  </si>
  <si>
    <t>Krok 7                   rozpad VaV</t>
  </si>
  <si>
    <t>CELKEM                        (přímé + nepřímé) náklady konečný rozpad</t>
  </si>
  <si>
    <t>Rektorát</t>
  </si>
  <si>
    <t>NÁKLADY NA SPRÁVU BUDOV</t>
  </si>
  <si>
    <t xml:space="preserve">Útvar správy a údržby budov </t>
  </si>
  <si>
    <t>010107</t>
  </si>
  <si>
    <t>x</t>
  </si>
  <si>
    <t>Součet SUB</t>
  </si>
  <si>
    <t>NÁKLADY NA ICT</t>
  </si>
  <si>
    <t>Celoškolská pracoviště</t>
  </si>
  <si>
    <t>Centrum informačních technologií</t>
  </si>
  <si>
    <t>0104xx</t>
  </si>
  <si>
    <t>Součet  ICT</t>
  </si>
  <si>
    <t>NÁKLADY "KANCELÁŘ REKTORA"</t>
  </si>
  <si>
    <t>Kancelář rektora vč. autoprovozu a personálního útvaru</t>
  </si>
  <si>
    <t>010100, 010200</t>
  </si>
  <si>
    <t>Součet KR</t>
  </si>
  <si>
    <t>NÁKLADY OSTATNÍ ÚSEKŮ REKTORÁTU</t>
  </si>
  <si>
    <t>Útvar analýz</t>
  </si>
  <si>
    <t>010119</t>
  </si>
  <si>
    <t>Zahraniční vztahy</t>
  </si>
  <si>
    <t>010102</t>
  </si>
  <si>
    <t>Útvar pro rozvoj</t>
  </si>
  <si>
    <t>010103</t>
  </si>
  <si>
    <t>Kvestor</t>
  </si>
  <si>
    <t>010105</t>
  </si>
  <si>
    <t xml:space="preserve">Ekonomický odbor </t>
  </si>
  <si>
    <t>010106</t>
  </si>
  <si>
    <t xml:space="preserve">Studium a CŽV </t>
  </si>
  <si>
    <t>010108,9</t>
  </si>
  <si>
    <t>Marketing</t>
  </si>
  <si>
    <t>010112</t>
  </si>
  <si>
    <t>Právní útvar</t>
  </si>
  <si>
    <t>010115</t>
  </si>
  <si>
    <t>Veřejné zakázky</t>
  </si>
  <si>
    <t>010110</t>
  </si>
  <si>
    <t xml:space="preserve">Investiční odbor </t>
  </si>
  <si>
    <t>010300</t>
  </si>
  <si>
    <t>podatelna</t>
  </si>
  <si>
    <t>010117</t>
  </si>
  <si>
    <t>VTP a ost.</t>
  </si>
  <si>
    <t>plocha v nájmu</t>
  </si>
  <si>
    <t>010800</t>
  </si>
  <si>
    <t>Součet OOR</t>
  </si>
  <si>
    <t>NÁKLADY KNIHOVNA</t>
  </si>
  <si>
    <t>Akademická knihovna JU</t>
  </si>
  <si>
    <t>010900,600</t>
  </si>
  <si>
    <t>Součet KNIHOVNA</t>
  </si>
  <si>
    <t>NÁKLADY VaV</t>
  </si>
  <si>
    <t>Oddělení VaV</t>
  </si>
  <si>
    <t>TA 103 a 104</t>
  </si>
  <si>
    <t>010104</t>
  </si>
  <si>
    <t>ostatní podpora VaV</t>
  </si>
  <si>
    <t>KTT</t>
  </si>
  <si>
    <t>010118</t>
  </si>
  <si>
    <t>Součet VaV</t>
  </si>
  <si>
    <t>Součet</t>
  </si>
  <si>
    <t>NÁKLADY KONCOVÝCH STŘEDISEK (rektorátu - BC, GZ - a fakult)</t>
  </si>
  <si>
    <t>010510</t>
  </si>
  <si>
    <t>010520</t>
  </si>
  <si>
    <t>12xxxx</t>
  </si>
  <si>
    <t>11xxxx</t>
  </si>
  <si>
    <t>09xxxx</t>
  </si>
  <si>
    <t>03xxxx</t>
  </si>
  <si>
    <t>06xxxx</t>
  </si>
  <si>
    <t>04xxxx</t>
  </si>
  <si>
    <t>07xxxx</t>
  </si>
  <si>
    <t>05xxxx</t>
  </si>
  <si>
    <t>Koleje a menzy</t>
  </si>
  <si>
    <t>02xxxx</t>
  </si>
  <si>
    <t xml:space="preserve">Součet </t>
  </si>
  <si>
    <t>KONTROLNÍ SOUČET</t>
  </si>
  <si>
    <t>5 Alokace R a AK 2018</t>
  </si>
  <si>
    <t>ukazatele patří k segmentu 3 (viz Pravidla MŠMT pro poskytování příspěvku a dotací VVŠ pro rok 2018)</t>
  </si>
  <si>
    <t>Pravidla MŠMT 2018</t>
  </si>
  <si>
    <t>způsobem použitým MŠMT při rozdělování příspěvku mezi VVŠ</t>
  </si>
  <si>
    <t xml:space="preserve">Dotace na RVO ve výši dané Rozhodnutím o poskytnutí dotace MŠMT </t>
  </si>
  <si>
    <t>rozdíl celkových zdrojů 2018 - 2017 (po navýšení 2017)</t>
  </si>
  <si>
    <t>tab 2 - Návrh na rozdělení disponibilního objemu dotace na rozvoj výzkumné organizace (RVO) pro rok 2018</t>
  </si>
  <si>
    <t>tab 3 - Příspěvek  - Výkonová a fixní část RO I - 2018; institucionální podpora RVO 2018; návrh rozdělení a porovnání s rokem 2017</t>
  </si>
  <si>
    <t>tab 4 - Přehled prostředků schválených pro rektorát a AK JU v letech 2016, 2017 s požadavky na financování roku 2018</t>
  </si>
  <si>
    <t>tab 5 - Alokace nákladů R a AK 2018 v základním návrhu ve výši 91 627 tis. Kč</t>
  </si>
  <si>
    <t>součást JU</t>
  </si>
  <si>
    <t>Podíl na financování celouniverzitních nákladů</t>
  </si>
  <si>
    <t>Fond VaV aktivit</t>
  </si>
  <si>
    <t>KaM</t>
  </si>
  <si>
    <t>6 Rekapitulace 2018 s alokací</t>
  </si>
  <si>
    <t>tab 6 - Rekapitulace disponibilních prostředků fakult (v hypotetickém případě použití pouze institucionálních zdrojů na financování R a AK)</t>
  </si>
  <si>
    <t>obsah</t>
  </si>
  <si>
    <t>Disponibilní prostředky 2017 celkem, vč. navýšení v létě 2017</t>
  </si>
  <si>
    <t>Disponibilní prostředky 2018 celkem</t>
  </si>
  <si>
    <r>
      <t>F</t>
    </r>
    <r>
      <rPr>
        <b/>
        <vertAlign val="subscript"/>
        <sz val="11"/>
        <rFont val="Calibri"/>
        <family val="2"/>
        <charset val="238"/>
        <scheme val="minor"/>
      </rPr>
      <t>x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</si>
  <si>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r>
      <t>F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>(1+0,1H</t>
    </r>
    <r>
      <rPr>
        <vertAlign val="subscript"/>
        <sz val="11"/>
        <color theme="1"/>
        <rFont val="Calibri"/>
        <family val="2"/>
        <charset val="238"/>
        <scheme val="minor"/>
      </rPr>
      <t>fx</t>
    </r>
    <r>
      <rPr>
        <sz val="11"/>
        <color theme="1"/>
        <rFont val="Calibri"/>
        <family val="2"/>
        <charset val="238"/>
        <scheme val="minor"/>
      </rPr>
      <t>)</t>
    </r>
  </si>
  <si>
    <r>
      <t>F</t>
    </r>
    <r>
      <rPr>
        <b/>
        <vertAlign val="subscript"/>
        <sz val="11"/>
        <rFont val="Calibri"/>
        <family val="2"/>
        <charset val="238"/>
        <scheme val="minor"/>
      </rPr>
      <t>x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</si>
  <si>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rozdíl F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a F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</si>
  <si>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H</t>
    </r>
    <r>
      <rPr>
        <b/>
        <vertAlign val="subscript"/>
        <sz val="11"/>
        <color theme="1"/>
        <rFont val="Calibri"/>
        <family val="2"/>
        <charset val="238"/>
        <scheme val="minor"/>
      </rPr>
      <t>f</t>
    </r>
  </si>
  <si>
    <t>Rozdíl dispon. prostř. 2018-2017</t>
  </si>
  <si>
    <t>Dopad změny objemu prostředků A+K 2018 vlivem metodiky JU</t>
  </si>
  <si>
    <t>vyčleněná částka pro zmírnění dopadu změny metodiky MŠMT pro výpočet výkonového ukazatele (K)</t>
  </si>
  <si>
    <t>podíl 3 fakult s nejvyšším pozitivním dopadem změny metodiky MŠMT pro výpočet výkonového ukazatele (K) na vyčleněné částce:</t>
  </si>
  <si>
    <t>1.1 K - JU</t>
  </si>
  <si>
    <t>tab 1.1 - Příspěvek  - Výkonová část RO I (ukazatel K) 2018; výpočet podílu fakult JU způsobem použitým MŠMT při rozdělování příspěvku mezi VVŠ</t>
  </si>
  <si>
    <t>tab 1.2 - Příspěvek  - Fixní část RO I (ukazatel A) 2018; výpočet podílu fakult JU způsobem použitým MŠMT při rozdělování příspěvku mezi VVŠ</t>
  </si>
  <si>
    <t>tab 1.4 - Příspěvek  - Výkonová část RO I (ukazatel K) 2018; výpočet objemu výkonové části pro jednotlivé fakulty JU</t>
  </si>
  <si>
    <t>tab 1.3 - Příspěvek  - Výkonová část RO I (ukazatel K) 2018; výpočet objemu výkonové části pro jednotlivé fakulty JU způsobem použitým MŠMT při rozdělování příspěvku mezi VVŠ</t>
  </si>
  <si>
    <t>tab 1 - Příspěvek - rozpočtový okruh I, institucionální část rozpočtu 2018 (ukazatele A a K) - stanovení objemů v RO I, porovnání mezi roky 2017 a 2018</t>
  </si>
  <si>
    <t>Disponibilní prostředky 2018 celkem po vyčlenění částky pro zmírnění dopadu změny metodiky MŠMT</t>
  </si>
  <si>
    <t>Objem prostředků výkonové části 2017 (vypočtený pro účely srovnání)</t>
  </si>
  <si>
    <t>Objem prostředků
výkonové části 2018</t>
  </si>
  <si>
    <t>Rozdíl objemu prostředků výkonové části 2018 - 2017</t>
  </si>
  <si>
    <t>Relativní rozdíl objemu prostředků výkonové části 2017-2018</t>
  </si>
  <si>
    <t>Objem prostředků fixní části 2017 (vypočtený pro účely srovnání)
"A"</t>
  </si>
  <si>
    <t>Objem prostředků výkonové části 2017 (vypočtený pro účely srovnání)
"K"</t>
  </si>
  <si>
    <t>Objem prostředků fixní části 2017 (vypočtený pro účely srovnání)</t>
  </si>
  <si>
    <t>Rozdíl objemu prostředků fixní části 2018-2017</t>
  </si>
  <si>
    <t>Relativní rozdíl objemu prostředků fixní části 2018-2017</t>
  </si>
  <si>
    <t xml:space="preserve"> *) výpočet na listu 1.1 K - JU</t>
  </si>
  <si>
    <t>příspěvek "A + K" 2017 (Kč) - zvýšení 06/2017</t>
  </si>
  <si>
    <r>
      <t>tab 5 - Alokace nákladů R a AK 2018 v základním návrhu ve výši</t>
    </r>
    <r>
      <rPr>
        <b/>
        <u/>
        <sz val="12"/>
        <color rgb="FFFF0000"/>
        <rFont val="Calibri"/>
        <family val="2"/>
        <charset val="238"/>
        <scheme val="minor"/>
      </rPr>
      <t xml:space="preserve"> 90 927 tis.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</si>
</sst>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%"/>
    <numFmt numFmtId="165" formatCode="0.0%"/>
    <numFmt numFmtId="166" formatCode="#,##0_ ;[Red]\-#,##0\ ;\–\ "/>
    <numFmt numFmtId="167" formatCode="0.0"/>
    <numFmt numFmtId="168" formatCode="0.0000%"/>
    <numFmt numFmtId="169" formatCode="#,##0.000"/>
    <numFmt numFmtId="170" formatCode="#,##0\ &quot;Kč&quot;"/>
    <numFmt numFmtId="171" formatCode="#,##0.00\ &quot;Kč&quot;"/>
    <numFmt numFmtId="172" formatCode="#,##0_ ;[Red]\-#,##0\ "/>
    <numFmt numFmtId="173" formatCode="mmm\/yyyy"/>
    <numFmt numFmtId="174" formatCode="#,##0.00000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vertAlign val="superscript"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99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9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rgb="FF0099CD"/>
      </left>
      <right style="thin">
        <color theme="0"/>
      </right>
      <top style="thin">
        <color rgb="FF0099CD"/>
      </top>
      <bottom/>
      <diagonal/>
    </border>
    <border>
      <left style="thin">
        <color theme="0"/>
      </left>
      <right style="thin">
        <color rgb="FF003366"/>
      </right>
      <top style="thin">
        <color rgb="FF0099CD"/>
      </top>
      <bottom/>
      <diagonal/>
    </border>
    <border>
      <left style="thin">
        <color theme="0"/>
      </left>
      <right style="thin">
        <color theme="0"/>
      </right>
      <top style="thin">
        <color rgb="FF003366"/>
      </top>
      <bottom/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theme="0"/>
      </left>
      <right/>
      <top style="thin">
        <color rgb="FF00336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33" fillId="0" borderId="0" applyNumberFormat="0" applyFill="0" applyBorder="0" applyAlignment="0" applyProtection="0"/>
  </cellStyleXfs>
  <cellXfs count="542">
    <xf numFmtId="0" fontId="0" fillId="0" borderId="0" xfId="0"/>
    <xf numFmtId="0" fontId="6" fillId="6" borderId="43" xfId="3" applyFont="1" applyFill="1" applyBorder="1"/>
    <xf numFmtId="0" fontId="2" fillId="0" borderId="0" xfId="0" applyFont="1"/>
    <xf numFmtId="3" fontId="0" fillId="0" borderId="0" xfId="0" applyNumberFormat="1"/>
    <xf numFmtId="0" fontId="0" fillId="0" borderId="0" xfId="0" applyFill="1"/>
    <xf numFmtId="0" fontId="11" fillId="0" borderId="0" xfId="0" applyFont="1"/>
    <xf numFmtId="0" fontId="11" fillId="0" borderId="0" xfId="3" applyFont="1"/>
    <xf numFmtId="0" fontId="12" fillId="0" borderId="0" xfId="0" applyFont="1"/>
    <xf numFmtId="0" fontId="6" fillId="0" borderId="0" xfId="0" applyFont="1"/>
    <xf numFmtId="171" fontId="0" fillId="0" borderId="0" xfId="0" applyNumberFormat="1"/>
    <xf numFmtId="0" fontId="0" fillId="0" borderId="0" xfId="0" applyAlignment="1">
      <alignment horizontal="center" wrapText="1"/>
    </xf>
    <xf numFmtId="0" fontId="0" fillId="0" borderId="13" xfId="0" applyFont="1" applyBorder="1"/>
    <xf numFmtId="169" fontId="0" fillId="0" borderId="13" xfId="0" applyNumberFormat="1" applyBorder="1"/>
    <xf numFmtId="4" fontId="0" fillId="0" borderId="13" xfId="0" applyNumberFormat="1" applyFill="1" applyBorder="1"/>
    <xf numFmtId="0" fontId="0" fillId="0" borderId="13" xfId="0" applyFill="1" applyBorder="1"/>
    <xf numFmtId="3" fontId="0" fillId="0" borderId="13" xfId="0" applyNumberFormat="1" applyBorder="1"/>
    <xf numFmtId="164" fontId="7" fillId="0" borderId="13" xfId="6" applyNumberFormat="1" applyFont="1" applyFill="1" applyBorder="1" applyAlignment="1">
      <alignment horizontal="center"/>
    </xf>
    <xf numFmtId="0" fontId="2" fillId="0" borderId="13" xfId="0" applyFont="1" applyBorder="1"/>
    <xf numFmtId="169" fontId="2" fillId="0" borderId="13" xfId="0" applyNumberFormat="1" applyFont="1" applyBorder="1"/>
    <xf numFmtId="3" fontId="2" fillId="0" borderId="13" xfId="0" applyNumberFormat="1" applyFont="1" applyBorder="1"/>
    <xf numFmtId="0" fontId="0" fillId="0" borderId="13" xfId="0" applyFont="1" applyFill="1" applyBorder="1" applyAlignment="1">
      <alignment wrapText="1"/>
    </xf>
    <xf numFmtId="16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13" xfId="0" applyFont="1" applyFill="1" applyBorder="1"/>
    <xf numFmtId="4" fontId="2" fillId="0" borderId="13" xfId="0" applyNumberFormat="1" applyFont="1" applyBorder="1"/>
    <xf numFmtId="4" fontId="0" fillId="0" borderId="0" xfId="0" applyNumberFormat="1"/>
    <xf numFmtId="3" fontId="0" fillId="8" borderId="13" xfId="0" applyNumberFormat="1" applyFill="1" applyBorder="1"/>
    <xf numFmtId="3" fontId="2" fillId="8" borderId="13" xfId="0" applyNumberFormat="1" applyFont="1" applyFill="1" applyBorder="1"/>
    <xf numFmtId="0" fontId="6" fillId="0" borderId="0" xfId="11" applyFont="1" applyFill="1"/>
    <xf numFmtId="0" fontId="1" fillId="0" borderId="0" xfId="11" applyFill="1"/>
    <xf numFmtId="0" fontId="14" fillId="0" borderId="0" xfId="11" applyFont="1" applyFill="1"/>
    <xf numFmtId="0" fontId="1" fillId="0" borderId="0" xfId="11" applyFont="1"/>
    <xf numFmtId="0" fontId="1" fillId="0" borderId="0" xfId="11"/>
    <xf numFmtId="0" fontId="6" fillId="0" borderId="0" xfId="11" applyFont="1" applyFill="1" applyAlignment="1">
      <alignment vertical="center"/>
    </xf>
    <xf numFmtId="0" fontId="0" fillId="0" borderId="13" xfId="11" applyFont="1" applyFill="1" applyBorder="1" applyAlignment="1">
      <alignment horizontal="center" vertical="center" wrapText="1"/>
    </xf>
    <xf numFmtId="0" fontId="14" fillId="0" borderId="13" xfId="11" applyFont="1" applyFill="1" applyBorder="1" applyAlignment="1">
      <alignment horizontal="center" vertical="center"/>
    </xf>
    <xf numFmtId="0" fontId="1" fillId="0" borderId="0" xfId="11" applyAlignment="1">
      <alignment vertical="center"/>
    </xf>
    <xf numFmtId="0" fontId="12" fillId="0" borderId="13" xfId="11" applyFont="1" applyFill="1" applyBorder="1" applyAlignment="1">
      <alignment horizontal="center" vertical="center" wrapText="1"/>
    </xf>
    <xf numFmtId="0" fontId="2" fillId="10" borderId="13" xfId="11" applyFont="1" applyFill="1" applyBorder="1" applyAlignment="1">
      <alignment horizontal="center" vertical="center" wrapText="1"/>
    </xf>
    <xf numFmtId="0" fontId="14" fillId="0" borderId="13" xfId="11" applyFont="1" applyFill="1" applyBorder="1" applyAlignment="1">
      <alignment horizontal="center" vertical="center" wrapText="1"/>
    </xf>
    <xf numFmtId="0" fontId="2" fillId="0" borderId="13" xfId="11" applyFont="1" applyFill="1" applyBorder="1" applyAlignment="1">
      <alignment horizontal="center" vertical="center" wrapText="1"/>
    </xf>
    <xf numFmtId="0" fontId="2" fillId="0" borderId="67" xfId="11" applyFont="1" applyFill="1" applyBorder="1" applyAlignment="1">
      <alignment horizontal="center" vertical="center" wrapText="1"/>
    </xf>
    <xf numFmtId="0" fontId="2" fillId="10" borderId="19" xfId="11" applyFont="1" applyFill="1" applyBorder="1" applyAlignment="1">
      <alignment horizontal="center" vertical="center" wrapText="1"/>
    </xf>
    <xf numFmtId="0" fontId="2" fillId="0" borderId="19" xfId="11" applyFont="1" applyFill="1" applyBorder="1" applyAlignment="1">
      <alignment horizontal="center" vertical="center" wrapText="1"/>
    </xf>
    <xf numFmtId="0" fontId="2" fillId="0" borderId="68" xfId="11" applyFont="1" applyFill="1" applyBorder="1" applyAlignment="1">
      <alignment horizontal="center" vertical="center" wrapText="1"/>
    </xf>
    <xf numFmtId="0" fontId="1" fillId="0" borderId="0" xfId="11" applyFont="1" applyAlignment="1">
      <alignment horizontal="center" vertical="center"/>
    </xf>
    <xf numFmtId="0" fontId="1" fillId="0" borderId="0" xfId="11" applyAlignment="1">
      <alignment horizontal="center" vertical="center"/>
    </xf>
    <xf numFmtId="0" fontId="6" fillId="0" borderId="13" xfId="11" applyFont="1" applyFill="1" applyBorder="1"/>
    <xf numFmtId="4" fontId="1" fillId="0" borderId="13" xfId="11" applyNumberFormat="1" applyFill="1" applyBorder="1"/>
    <xf numFmtId="4" fontId="14" fillId="0" borderId="13" xfId="11" applyNumberFormat="1" applyFont="1" applyFill="1" applyBorder="1"/>
    <xf numFmtId="4" fontId="6" fillId="0" borderId="13" xfId="11" applyNumberFormat="1" applyFont="1" applyFill="1" applyBorder="1"/>
    <xf numFmtId="4" fontId="6" fillId="0" borderId="20" xfId="11" applyNumberFormat="1" applyFont="1" applyFill="1" applyBorder="1"/>
    <xf numFmtId="4" fontId="6" fillId="0" borderId="4" xfId="11" applyNumberFormat="1" applyFont="1" applyFill="1" applyBorder="1"/>
    <xf numFmtId="4" fontId="6" fillId="0" borderId="69" xfId="11" applyNumberFormat="1" applyFont="1" applyFill="1" applyBorder="1"/>
    <xf numFmtId="4" fontId="15" fillId="0" borderId="13" xfId="11" applyNumberFormat="1" applyFont="1" applyFill="1" applyBorder="1"/>
    <xf numFmtId="4" fontId="6" fillId="0" borderId="22" xfId="11" applyNumberFormat="1" applyFont="1" applyFill="1" applyBorder="1"/>
    <xf numFmtId="4" fontId="6" fillId="0" borderId="70" xfId="11" applyNumberFormat="1" applyFont="1" applyFill="1" applyBorder="1"/>
    <xf numFmtId="4" fontId="1" fillId="6" borderId="13" xfId="11" applyNumberFormat="1" applyFill="1" applyBorder="1"/>
    <xf numFmtId="4" fontId="0" fillId="6" borderId="13" xfId="11" applyNumberFormat="1" applyFont="1" applyFill="1" applyBorder="1"/>
    <xf numFmtId="0" fontId="6" fillId="11" borderId="13" xfId="11" applyFont="1" applyFill="1" applyBorder="1"/>
    <xf numFmtId="4" fontId="1" fillId="11" borderId="13" xfId="11" applyNumberFormat="1" applyFill="1" applyBorder="1"/>
    <xf numFmtId="4" fontId="6" fillId="11" borderId="13" xfId="11" applyNumberFormat="1" applyFont="1" applyFill="1" applyBorder="1"/>
    <xf numFmtId="0" fontId="6" fillId="6" borderId="13" xfId="11" applyFont="1" applyFill="1" applyBorder="1"/>
    <xf numFmtId="0" fontId="6" fillId="4" borderId="13" xfId="11" applyFont="1" applyFill="1" applyBorder="1"/>
    <xf numFmtId="4" fontId="1" fillId="4" borderId="13" xfId="11" applyNumberFormat="1" applyFill="1" applyBorder="1"/>
    <xf numFmtId="4" fontId="6" fillId="4" borderId="13" xfId="11" applyNumberFormat="1" applyFont="1" applyFill="1" applyBorder="1"/>
    <xf numFmtId="4" fontId="13" fillId="0" borderId="13" xfId="11" applyNumberFormat="1" applyFont="1" applyFill="1" applyBorder="1"/>
    <xf numFmtId="4" fontId="13" fillId="0" borderId="22" xfId="11" applyNumberFormat="1" applyFont="1" applyFill="1" applyBorder="1"/>
    <xf numFmtId="4" fontId="13" fillId="0" borderId="70" xfId="11" applyNumberFormat="1" applyFont="1" applyFill="1" applyBorder="1"/>
    <xf numFmtId="4" fontId="6" fillId="6" borderId="13" xfId="11" applyNumberFormat="1" applyFont="1" applyFill="1" applyBorder="1"/>
    <xf numFmtId="4" fontId="6" fillId="0" borderId="22" xfId="11" applyNumberFormat="1" applyFont="1" applyFill="1" applyBorder="1" applyAlignment="1">
      <alignment horizontal="center"/>
    </xf>
    <xf numFmtId="4" fontId="6" fillId="0" borderId="13" xfId="11" applyNumberFormat="1" applyFont="1" applyFill="1" applyBorder="1" applyAlignment="1">
      <alignment horizontal="center"/>
    </xf>
    <xf numFmtId="4" fontId="1" fillId="0" borderId="13" xfId="11" applyNumberFormat="1" applyFill="1" applyBorder="1" applyAlignment="1"/>
    <xf numFmtId="4" fontId="6" fillId="0" borderId="13" xfId="11" applyNumberFormat="1" applyFont="1" applyFill="1" applyBorder="1" applyAlignment="1"/>
    <xf numFmtId="4" fontId="6" fillId="0" borderId="70" xfId="11" applyNumberFormat="1" applyFont="1" applyFill="1" applyBorder="1" applyAlignment="1"/>
    <xf numFmtId="0" fontId="0" fillId="0" borderId="13" xfId="0" applyFill="1" applyBorder="1" applyAlignment="1"/>
    <xf numFmtId="0" fontId="6" fillId="0" borderId="13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70" xfId="0" applyFont="1" applyFill="1" applyBorder="1" applyAlignment="1"/>
    <xf numFmtId="0" fontId="12" fillId="0" borderId="13" xfId="11" applyFont="1" applyFill="1" applyBorder="1"/>
    <xf numFmtId="4" fontId="2" fillId="6" borderId="13" xfId="11" applyNumberFormat="1" applyFont="1" applyFill="1" applyBorder="1"/>
    <xf numFmtId="4" fontId="16" fillId="0" borderId="13" xfId="11" applyNumberFormat="1" applyFont="1" applyFill="1" applyBorder="1"/>
    <xf numFmtId="4" fontId="2" fillId="0" borderId="13" xfId="11" applyNumberFormat="1" applyFont="1" applyFill="1" applyBorder="1"/>
    <xf numFmtId="4" fontId="12" fillId="0" borderId="13" xfId="11" applyNumberFormat="1" applyFont="1" applyFill="1" applyBorder="1"/>
    <xf numFmtId="4" fontId="12" fillId="0" borderId="71" xfId="11" applyNumberFormat="1" applyFont="1" applyFill="1" applyBorder="1"/>
    <xf numFmtId="4" fontId="12" fillId="6" borderId="8" xfId="11" applyNumberFormat="1" applyFont="1" applyFill="1" applyBorder="1"/>
    <xf numFmtId="4" fontId="12" fillId="0" borderId="8" xfId="11" applyNumberFormat="1" applyFont="1" applyFill="1" applyBorder="1"/>
    <xf numFmtId="4" fontId="12" fillId="0" borderId="72" xfId="11" applyNumberFormat="1" applyFont="1" applyFill="1" applyBorder="1"/>
    <xf numFmtId="0" fontId="2" fillId="0" borderId="13" xfId="11" applyFont="1" applyFill="1" applyBorder="1"/>
    <xf numFmtId="0" fontId="16" fillId="0" borderId="13" xfId="11" applyFont="1" applyFill="1" applyBorder="1"/>
    <xf numFmtId="4" fontId="17" fillId="0" borderId="13" xfId="11" applyNumberFormat="1" applyFont="1" applyFill="1" applyBorder="1"/>
    <xf numFmtId="0" fontId="12" fillId="0" borderId="0" xfId="11" applyFont="1" applyFill="1" applyBorder="1"/>
    <xf numFmtId="0" fontId="16" fillId="0" borderId="0" xfId="11" applyFont="1" applyFill="1" applyBorder="1"/>
    <xf numFmtId="0" fontId="2" fillId="0" borderId="0" xfId="11" applyFont="1" applyFill="1" applyBorder="1"/>
    <xf numFmtId="10" fontId="17" fillId="0" borderId="13" xfId="11" applyNumberFormat="1" applyFont="1" applyFill="1" applyBorder="1"/>
    <xf numFmtId="0" fontId="12" fillId="0" borderId="0" xfId="11" applyFont="1" applyFill="1"/>
    <xf numFmtId="0" fontId="2" fillId="0" borderId="0" xfId="11" applyFont="1"/>
    <xf numFmtId="4" fontId="2" fillId="0" borderId="0" xfId="11" applyNumberFormat="1" applyFont="1" applyFill="1" applyBorder="1"/>
    <xf numFmtId="4" fontId="17" fillId="0" borderId="0" xfId="11" applyNumberFormat="1" applyFont="1" applyFill="1" applyBorder="1"/>
    <xf numFmtId="4" fontId="6" fillId="0" borderId="0" xfId="11" applyNumberFormat="1" applyFont="1" applyFill="1"/>
    <xf numFmtId="4" fontId="1" fillId="0" borderId="0" xfId="11" applyNumberFormat="1"/>
    <xf numFmtId="0" fontId="18" fillId="0" borderId="0" xfId="11" applyFont="1" applyFill="1"/>
    <xf numFmtId="0" fontId="19" fillId="0" borderId="0" xfId="11" applyFont="1" applyFill="1"/>
    <xf numFmtId="4" fontId="19" fillId="0" borderId="0" xfId="11" applyNumberFormat="1" applyFont="1"/>
    <xf numFmtId="0" fontId="21" fillId="12" borderId="78" xfId="12" applyFont="1" applyFill="1" applyBorder="1" applyAlignment="1">
      <alignment horizontal="center" vertical="center" wrapText="1"/>
    </xf>
    <xf numFmtId="0" fontId="22" fillId="13" borderId="79" xfId="12" applyFont="1" applyFill="1" applyBorder="1" applyAlignment="1">
      <alignment horizontal="center" vertical="center" wrapText="1"/>
    </xf>
    <xf numFmtId="0" fontId="22" fillId="13" borderId="79" xfId="12" applyFont="1" applyFill="1" applyBorder="1" applyAlignment="1">
      <alignment horizontal="left" vertical="center" wrapText="1"/>
    </xf>
    <xf numFmtId="49" fontId="22" fillId="13" borderId="79" xfId="12" applyNumberFormat="1" applyFont="1" applyFill="1" applyBorder="1" applyAlignment="1">
      <alignment horizontal="center" vertical="center" wrapText="1"/>
    </xf>
    <xf numFmtId="4" fontId="22" fillId="13" borderId="79" xfId="12" applyNumberFormat="1" applyFont="1" applyFill="1" applyBorder="1" applyAlignment="1">
      <alignment horizontal="center" vertical="center" wrapText="1"/>
    </xf>
    <xf numFmtId="4" fontId="25" fillId="13" borderId="79" xfId="12" applyNumberFormat="1" applyFont="1" applyFill="1" applyBorder="1" applyAlignment="1">
      <alignment horizontal="center" vertical="center" wrapText="1"/>
    </xf>
    <xf numFmtId="173" fontId="22" fillId="13" borderId="79" xfId="12" applyNumberFormat="1" applyFont="1" applyFill="1" applyBorder="1" applyAlignment="1">
      <alignment horizontal="center" vertical="center" wrapText="1"/>
    </xf>
    <xf numFmtId="173" fontId="22" fillId="13" borderId="80" xfId="12" applyNumberFormat="1" applyFont="1" applyFill="1" applyBorder="1" applyAlignment="1">
      <alignment horizontal="center" vertical="center" wrapText="1"/>
    </xf>
    <xf numFmtId="4" fontId="22" fillId="13" borderId="80" xfId="12" applyNumberFormat="1" applyFont="1" applyFill="1" applyBorder="1" applyAlignment="1">
      <alignment horizontal="center" vertical="center" wrapText="1"/>
    </xf>
    <xf numFmtId="0" fontId="22" fillId="14" borderId="81" xfId="12" applyFont="1" applyFill="1" applyBorder="1" applyAlignment="1">
      <alignment horizontal="center" vertical="center" wrapText="1"/>
    </xf>
    <xf numFmtId="0" fontId="22" fillId="14" borderId="82" xfId="12" applyFont="1" applyFill="1" applyBorder="1" applyAlignment="1">
      <alignment horizontal="center" vertical="center" wrapText="1"/>
    </xf>
    <xf numFmtId="0" fontId="4" fillId="15" borderId="81" xfId="12" applyFont="1" applyFill="1" applyBorder="1" applyAlignment="1">
      <alignment horizontal="center" vertical="center" wrapText="1"/>
    </xf>
    <xf numFmtId="0" fontId="4" fillId="16" borderId="83" xfId="12" applyFont="1" applyFill="1" applyBorder="1" applyAlignment="1">
      <alignment horizontal="center" vertical="center" wrapText="1"/>
    </xf>
    <xf numFmtId="0" fontId="4" fillId="10" borderId="83" xfId="12" applyFont="1" applyFill="1" applyBorder="1" applyAlignment="1">
      <alignment horizontal="center" vertical="center" wrapText="1"/>
    </xf>
    <xf numFmtId="0" fontId="4" fillId="10" borderId="84" xfId="12" applyFont="1" applyFill="1" applyBorder="1" applyAlignment="1">
      <alignment horizontal="center" vertical="center" wrapText="1"/>
    </xf>
    <xf numFmtId="0" fontId="4" fillId="17" borderId="83" xfId="12" applyFont="1" applyFill="1" applyBorder="1" applyAlignment="1">
      <alignment horizontal="center" vertical="center" wrapText="1"/>
    </xf>
    <xf numFmtId="0" fontId="4" fillId="18" borderId="83" xfId="12" applyFont="1" applyFill="1" applyBorder="1" applyAlignment="1">
      <alignment horizontal="center" vertical="center" wrapText="1"/>
    </xf>
    <xf numFmtId="0" fontId="4" fillId="18" borderId="85" xfId="12" applyFont="1" applyFill="1" applyBorder="1" applyAlignment="1">
      <alignment horizontal="center" vertical="center" wrapText="1"/>
    </xf>
    <xf numFmtId="0" fontId="4" fillId="19" borderId="83" xfId="12" applyFont="1" applyFill="1" applyBorder="1" applyAlignment="1">
      <alignment horizontal="center" vertical="center" wrapText="1"/>
    </xf>
    <xf numFmtId="0" fontId="4" fillId="19" borderId="85" xfId="12" applyFont="1" applyFill="1" applyBorder="1" applyAlignment="1">
      <alignment horizontal="center" vertical="center" wrapText="1"/>
    </xf>
    <xf numFmtId="0" fontId="4" fillId="20" borderId="83" xfId="12" applyFont="1" applyFill="1" applyBorder="1" applyAlignment="1">
      <alignment horizontal="center" vertical="center" wrapText="1"/>
    </xf>
    <xf numFmtId="0" fontId="4" fillId="20" borderId="85" xfId="12" applyFont="1" applyFill="1" applyBorder="1" applyAlignment="1">
      <alignment horizontal="center" vertical="center" wrapText="1"/>
    </xf>
    <xf numFmtId="0" fontId="4" fillId="15" borderId="13" xfId="12" applyFont="1" applyFill="1" applyBorder="1" applyAlignment="1">
      <alignment horizontal="center" vertical="center" wrapText="1"/>
    </xf>
    <xf numFmtId="0" fontId="20" fillId="0" borderId="0" xfId="12" applyFont="1" applyBorder="1" applyAlignment="1">
      <alignment horizontal="left" wrapText="1"/>
    </xf>
    <xf numFmtId="0" fontId="20" fillId="0" borderId="0" xfId="12" applyFont="1" applyAlignment="1">
      <alignment horizontal="left" wrapText="1"/>
    </xf>
    <xf numFmtId="0" fontId="5" fillId="0" borderId="13" xfId="12" applyFont="1" applyFill="1" applyBorder="1" applyAlignment="1">
      <alignment horizontal="left" wrapText="1"/>
    </xf>
    <xf numFmtId="0" fontId="5" fillId="11" borderId="13" xfId="12" applyFont="1" applyFill="1" applyBorder="1" applyAlignment="1">
      <alignment horizontal="left" wrapText="1"/>
    </xf>
    <xf numFmtId="49" fontId="5" fillId="11" borderId="13" xfId="12" applyNumberFormat="1" applyFont="1" applyFill="1" applyBorder="1" applyAlignment="1">
      <alignment horizontal="center" wrapText="1"/>
    </xf>
    <xf numFmtId="4" fontId="5" fillId="11" borderId="13" xfId="12" applyNumberFormat="1" applyFont="1" applyFill="1" applyBorder="1" applyAlignment="1">
      <alignment horizontal="center" wrapText="1"/>
    </xf>
    <xf numFmtId="0" fontId="5" fillId="11" borderId="13" xfId="12" applyFont="1" applyFill="1" applyBorder="1" applyAlignment="1">
      <alignment horizontal="center" wrapText="1"/>
    </xf>
    <xf numFmtId="4" fontId="5" fillId="11" borderId="13" xfId="12" applyNumberFormat="1" applyFont="1" applyFill="1" applyBorder="1" applyAlignment="1">
      <alignment horizontal="right" wrapText="1"/>
    </xf>
    <xf numFmtId="0" fontId="5" fillId="15" borderId="13" xfId="12" applyFont="1" applyFill="1" applyBorder="1" applyAlignment="1">
      <alignment horizontal="left" wrapText="1"/>
    </xf>
    <xf numFmtId="0" fontId="5" fillId="21" borderId="13" xfId="12" applyFont="1" applyFill="1" applyBorder="1" applyAlignment="1">
      <alignment horizontal="left" wrapText="1"/>
    </xf>
    <xf numFmtId="49" fontId="5" fillId="21" borderId="13" xfId="12" applyNumberFormat="1" applyFont="1" applyFill="1" applyBorder="1" applyAlignment="1">
      <alignment horizontal="center" wrapText="1"/>
    </xf>
    <xf numFmtId="4" fontId="5" fillId="9" borderId="13" xfId="12" applyNumberFormat="1" applyFont="1" applyFill="1" applyBorder="1" applyAlignment="1">
      <alignment horizontal="center" wrapText="1"/>
    </xf>
    <xf numFmtId="0" fontId="5" fillId="0" borderId="13" xfId="12" applyFont="1" applyFill="1" applyBorder="1" applyAlignment="1">
      <alignment horizontal="center" wrapText="1"/>
    </xf>
    <xf numFmtId="4" fontId="5" fillId="0" borderId="13" xfId="12" applyNumberFormat="1" applyFont="1" applyFill="1" applyBorder="1" applyAlignment="1">
      <alignment horizontal="center" wrapText="1"/>
    </xf>
    <xf numFmtId="0" fontId="5" fillId="15" borderId="13" xfId="12" applyFont="1" applyFill="1" applyBorder="1" applyAlignment="1">
      <alignment horizontal="center" wrapText="1"/>
    </xf>
    <xf numFmtId="4" fontId="5" fillId="15" borderId="13" xfId="12" applyNumberFormat="1" applyFont="1" applyFill="1" applyBorder="1" applyAlignment="1">
      <alignment horizontal="center" wrapText="1"/>
    </xf>
    <xf numFmtId="4" fontId="5" fillId="21" borderId="13" xfId="12" applyNumberFormat="1" applyFont="1" applyFill="1" applyBorder="1" applyAlignment="1">
      <alignment horizontal="right" wrapText="1"/>
    </xf>
    <xf numFmtId="4" fontId="5" fillId="15" borderId="13" xfId="12" applyNumberFormat="1" applyFont="1" applyFill="1" applyBorder="1" applyAlignment="1">
      <alignment horizontal="right" wrapText="1"/>
    </xf>
    <xf numFmtId="4" fontId="5" fillId="0" borderId="13" xfId="12" applyNumberFormat="1" applyFont="1" applyFill="1" applyBorder="1" applyAlignment="1">
      <alignment horizontal="right" wrapText="1"/>
    </xf>
    <xf numFmtId="4" fontId="5" fillId="16" borderId="13" xfId="12" applyNumberFormat="1" applyFont="1" applyFill="1" applyBorder="1" applyAlignment="1">
      <alignment horizontal="right" wrapText="1"/>
    </xf>
    <xf numFmtId="4" fontId="5" fillId="21" borderId="13" xfId="12" applyNumberFormat="1" applyFont="1" applyFill="1" applyBorder="1" applyAlignment="1">
      <alignment horizontal="center" wrapText="1"/>
    </xf>
    <xf numFmtId="0" fontId="5" fillId="21" borderId="13" xfId="12" applyFont="1" applyFill="1" applyBorder="1" applyAlignment="1">
      <alignment horizontal="center" wrapText="1"/>
    </xf>
    <xf numFmtId="49" fontId="5" fillId="15" borderId="13" xfId="12" applyNumberFormat="1" applyFont="1" applyFill="1" applyBorder="1" applyAlignment="1">
      <alignment horizontal="center" wrapText="1"/>
    </xf>
    <xf numFmtId="4" fontId="5" fillId="10" borderId="13" xfId="12" applyNumberFormat="1" applyFont="1" applyFill="1" applyBorder="1" applyAlignment="1">
      <alignment horizontal="right" wrapText="1"/>
    </xf>
    <xf numFmtId="4" fontId="5" fillId="17" borderId="13" xfId="12" applyNumberFormat="1" applyFont="1" applyFill="1" applyBorder="1" applyAlignment="1">
      <alignment horizontal="right" wrapText="1"/>
    </xf>
    <xf numFmtId="4" fontId="5" fillId="18" borderId="13" xfId="12" applyNumberFormat="1" applyFont="1" applyFill="1" applyBorder="1" applyAlignment="1">
      <alignment horizontal="right" wrapText="1"/>
    </xf>
    <xf numFmtId="4" fontId="5" fillId="6" borderId="13" xfId="12" applyNumberFormat="1" applyFont="1" applyFill="1" applyBorder="1" applyAlignment="1">
      <alignment horizontal="right" wrapText="1"/>
    </xf>
    <xf numFmtId="4" fontId="5" fillId="20" borderId="13" xfId="12" applyNumberFormat="1" applyFont="1" applyFill="1" applyBorder="1" applyAlignment="1">
      <alignment horizontal="right" wrapText="1"/>
    </xf>
    <xf numFmtId="4" fontId="5" fillId="19" borderId="13" xfId="12" applyNumberFormat="1" applyFont="1" applyFill="1" applyBorder="1" applyAlignment="1">
      <alignment horizontal="right" wrapText="1"/>
    </xf>
    <xf numFmtId="4" fontId="27" fillId="0" borderId="13" xfId="12" applyNumberFormat="1" applyFont="1" applyFill="1" applyBorder="1" applyAlignment="1">
      <alignment horizontal="center" wrapText="1"/>
    </xf>
    <xf numFmtId="0" fontId="20" fillId="9" borderId="0" xfId="12" applyFont="1" applyFill="1" applyAlignment="1">
      <alignment horizontal="center" wrapText="1"/>
    </xf>
    <xf numFmtId="49" fontId="5" fillId="0" borderId="13" xfId="12" applyNumberFormat="1" applyFont="1" applyFill="1" applyBorder="1" applyAlignment="1">
      <alignment horizontal="center" wrapText="1"/>
    </xf>
    <xf numFmtId="4" fontId="5" fillId="22" borderId="13" xfId="12" applyNumberFormat="1" applyFont="1" applyFill="1" applyBorder="1" applyAlignment="1">
      <alignment horizontal="right" wrapText="1"/>
    </xf>
    <xf numFmtId="4" fontId="5" fillId="22" borderId="13" xfId="12" applyNumberFormat="1" applyFont="1" applyFill="1" applyBorder="1" applyAlignment="1">
      <alignment horizontal="left" wrapText="1"/>
    </xf>
    <xf numFmtId="0" fontId="20" fillId="0" borderId="0" xfId="12" applyFont="1" applyFill="1" applyBorder="1" applyAlignment="1">
      <alignment horizontal="left" wrapText="1"/>
    </xf>
    <xf numFmtId="49" fontId="20" fillId="0" borderId="0" xfId="12" applyNumberFormat="1" applyFont="1" applyFill="1" applyBorder="1" applyAlignment="1">
      <alignment horizontal="center" wrapText="1"/>
    </xf>
    <xf numFmtId="4" fontId="20" fillId="0" borderId="0" xfId="12" applyNumberFormat="1" applyFont="1" applyFill="1" applyBorder="1" applyAlignment="1">
      <alignment horizontal="center" wrapText="1"/>
    </xf>
    <xf numFmtId="0" fontId="20" fillId="0" borderId="0" xfId="12" applyFont="1" applyFill="1" applyBorder="1" applyAlignment="1">
      <alignment horizontal="center" wrapText="1"/>
    </xf>
    <xf numFmtId="4" fontId="20" fillId="0" borderId="0" xfId="12" applyNumberFormat="1" applyFont="1" applyFill="1" applyBorder="1" applyAlignment="1">
      <alignment horizontal="left" wrapText="1"/>
    </xf>
    <xf numFmtId="4" fontId="20" fillId="0" borderId="0" xfId="12" applyNumberFormat="1" applyFont="1" applyFill="1" applyBorder="1" applyAlignment="1">
      <alignment horizontal="right" wrapText="1"/>
    </xf>
    <xf numFmtId="0" fontId="20" fillId="0" borderId="0" xfId="12" applyFont="1" applyFill="1" applyBorder="1" applyAlignment="1">
      <alignment horizontal="right" wrapText="1"/>
    </xf>
    <xf numFmtId="4" fontId="20" fillId="6" borderId="0" xfId="12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0" fillId="0" borderId="0" xfId="6" applyFont="1" applyFill="1" applyBorder="1" applyAlignment="1">
      <alignment vertical="center"/>
    </xf>
    <xf numFmtId="0" fontId="31" fillId="0" borderId="0" xfId="5" applyFont="1" applyFill="1" applyBorder="1" applyAlignment="1">
      <alignment vertical="center"/>
    </xf>
    <xf numFmtId="0" fontId="1" fillId="0" borderId="0" xfId="0" applyFont="1"/>
    <xf numFmtId="0" fontId="1" fillId="0" borderId="16" xfId="3" applyFont="1" applyFill="1" applyBorder="1"/>
    <xf numFmtId="0" fontId="1" fillId="6" borderId="43" xfId="3" applyFont="1" applyFill="1" applyBorder="1"/>
    <xf numFmtId="0" fontId="1" fillId="6" borderId="64" xfId="3" applyFont="1" applyFill="1" applyBorder="1"/>
    <xf numFmtId="0" fontId="1" fillId="6" borderId="50" xfId="3" applyFont="1" applyFill="1" applyBorder="1"/>
    <xf numFmtId="0" fontId="1" fillId="6" borderId="42" xfId="3" applyFont="1" applyFill="1" applyBorder="1"/>
    <xf numFmtId="0" fontId="1" fillId="0" borderId="0" xfId="3" applyFont="1" applyFill="1" applyBorder="1"/>
    <xf numFmtId="0" fontId="1" fillId="0" borderId="0" xfId="8" applyFont="1"/>
    <xf numFmtId="0" fontId="1" fillId="0" borderId="0" xfId="3" applyFont="1"/>
    <xf numFmtId="0" fontId="6" fillId="0" borderId="0" xfId="5" applyFont="1" applyFill="1" applyBorder="1" applyAlignment="1">
      <alignment vertical="center"/>
    </xf>
    <xf numFmtId="0" fontId="6" fillId="0" borderId="0" xfId="6" applyFont="1" applyAlignment="1"/>
    <xf numFmtId="0" fontId="12" fillId="4" borderId="36" xfId="5" applyFont="1" applyFill="1" applyBorder="1" applyAlignment="1">
      <alignment vertical="center" wrapText="1"/>
    </xf>
    <xf numFmtId="0" fontId="12" fillId="4" borderId="37" xfId="5" applyFont="1" applyFill="1" applyBorder="1" applyAlignment="1">
      <alignment vertical="center" wrapText="1"/>
    </xf>
    <xf numFmtId="0" fontId="6" fillId="4" borderId="42" xfId="5" applyFont="1" applyFill="1" applyBorder="1" applyAlignment="1">
      <alignment horizontal="center" vertical="center"/>
    </xf>
    <xf numFmtId="0" fontId="12" fillId="4" borderId="66" xfId="5" applyFont="1" applyFill="1" applyBorder="1" applyAlignment="1">
      <alignment vertical="center" wrapText="1"/>
    </xf>
    <xf numFmtId="0" fontId="6" fillId="0" borderId="0" xfId="6" applyFont="1"/>
    <xf numFmtId="165" fontId="12" fillId="4" borderId="41" xfId="7" applyNumberFormat="1" applyFont="1" applyFill="1" applyBorder="1" applyAlignment="1" applyProtection="1">
      <alignment horizontal="right" vertical="center"/>
    </xf>
    <xf numFmtId="165" fontId="12" fillId="0" borderId="16" xfId="7" applyNumberFormat="1" applyFont="1" applyFill="1" applyBorder="1" applyAlignment="1" applyProtection="1">
      <alignment horizontal="right" vertical="center"/>
    </xf>
    <xf numFmtId="165" fontId="12" fillId="0" borderId="41" xfId="7" applyNumberFormat="1" applyFont="1" applyFill="1" applyBorder="1" applyAlignment="1" applyProtection="1">
      <alignment horizontal="right" vertical="center"/>
    </xf>
    <xf numFmtId="165" fontId="12" fillId="0" borderId="16" xfId="5" applyNumberFormat="1" applyFont="1" applyFill="1" applyBorder="1" applyAlignment="1">
      <alignment horizontal="center" vertical="center"/>
    </xf>
    <xf numFmtId="165" fontId="12" fillId="5" borderId="17" xfId="7" applyNumberFormat="1" applyFont="1" applyFill="1" applyBorder="1" applyAlignment="1" applyProtection="1">
      <alignment horizontal="right" vertical="center"/>
    </xf>
    <xf numFmtId="165" fontId="12" fillId="4" borderId="17" xfId="7" applyNumberFormat="1" applyFont="1" applyFill="1" applyBorder="1" applyAlignment="1" applyProtection="1">
      <alignment horizontal="right" vertical="center"/>
    </xf>
    <xf numFmtId="165" fontId="6" fillId="0" borderId="16" xfId="5" applyNumberFormat="1" applyFont="1" applyFill="1" applyBorder="1" applyAlignment="1">
      <alignment horizontal="center" vertical="center"/>
    </xf>
    <xf numFmtId="164" fontId="12" fillId="2" borderId="38" xfId="7" applyNumberFormat="1" applyFont="1" applyFill="1" applyBorder="1" applyAlignment="1">
      <alignment horizontal="right" vertical="center"/>
    </xf>
    <xf numFmtId="164" fontId="12" fillId="2" borderId="27" xfId="7" applyNumberFormat="1" applyFont="1" applyFill="1" applyBorder="1" applyAlignment="1">
      <alignment horizontal="right" vertical="center"/>
    </xf>
    <xf numFmtId="165" fontId="12" fillId="6" borderId="31" xfId="7" applyNumberFormat="1" applyFont="1" applyFill="1" applyBorder="1" applyAlignment="1" applyProtection="1">
      <alignment horizontal="right" vertical="center"/>
    </xf>
    <xf numFmtId="165" fontId="12" fillId="6" borderId="43" xfId="7" applyNumberFormat="1" applyFont="1" applyFill="1" applyBorder="1" applyAlignment="1" applyProtection="1">
      <alignment horizontal="right" vertical="center"/>
    </xf>
    <xf numFmtId="0" fontId="6" fillId="6" borderId="43" xfId="5" applyFont="1" applyFill="1" applyBorder="1" applyAlignment="1">
      <alignment horizontal="center" vertical="center" wrapText="1"/>
    </xf>
    <xf numFmtId="165" fontId="12" fillId="6" borderId="44" xfId="7" applyNumberFormat="1" applyFont="1" applyFill="1" applyBorder="1" applyAlignment="1" applyProtection="1">
      <alignment horizontal="right" vertical="center"/>
    </xf>
    <xf numFmtId="165" fontId="12" fillId="6" borderId="65" xfId="7" applyNumberFormat="1" applyFont="1" applyFill="1" applyBorder="1" applyAlignment="1" applyProtection="1">
      <alignment horizontal="right" vertical="center"/>
    </xf>
    <xf numFmtId="0" fontId="6" fillId="6" borderId="45" xfId="5" applyFont="1" applyFill="1" applyBorder="1" applyAlignment="1">
      <alignment horizontal="center" vertical="center" wrapText="1"/>
    </xf>
    <xf numFmtId="164" fontId="12" fillId="3" borderId="21" xfId="7" applyNumberFormat="1" applyFont="1" applyFill="1" applyBorder="1" applyAlignment="1" applyProtection="1">
      <alignment horizontal="right" vertical="center"/>
    </xf>
    <xf numFmtId="3" fontId="6" fillId="6" borderId="46" xfId="5" applyNumberFormat="1" applyFont="1" applyFill="1" applyBorder="1" applyAlignment="1" applyProtection="1">
      <alignment horizontal="right" vertical="center"/>
    </xf>
    <xf numFmtId="165" fontId="12" fillId="6" borderId="0" xfId="7" applyNumberFormat="1" applyFont="1" applyFill="1" applyBorder="1" applyAlignment="1" applyProtection="1">
      <alignment horizontal="right" vertical="center"/>
    </xf>
    <xf numFmtId="165" fontId="12" fillId="6" borderId="46" xfId="7" applyNumberFormat="1" applyFont="1" applyFill="1" applyBorder="1" applyAlignment="1" applyProtection="1">
      <alignment horizontal="right" vertical="center"/>
    </xf>
    <xf numFmtId="0" fontId="6" fillId="6" borderId="46" xfId="5" applyFont="1" applyFill="1" applyBorder="1" applyAlignment="1">
      <alignment vertical="center"/>
    </xf>
    <xf numFmtId="165" fontId="12" fillId="6" borderId="47" xfId="7" applyNumberFormat="1" applyFont="1" applyFill="1" applyBorder="1" applyAlignment="1" applyProtection="1">
      <alignment horizontal="right" vertical="center"/>
    </xf>
    <xf numFmtId="165" fontId="12" fillId="6" borderId="46" xfId="5" applyNumberFormat="1" applyFont="1" applyFill="1" applyBorder="1" applyAlignment="1" applyProtection="1">
      <alignment horizontal="left" vertical="center"/>
    </xf>
    <xf numFmtId="164" fontId="6" fillId="3" borderId="51" xfId="7" applyNumberFormat="1" applyFont="1" applyFill="1" applyBorder="1" applyAlignment="1" applyProtection="1">
      <alignment horizontal="right" vertical="center"/>
    </xf>
    <xf numFmtId="3" fontId="6" fillId="6" borderId="39" xfId="5" applyNumberFormat="1" applyFont="1" applyFill="1" applyBorder="1" applyAlignment="1" applyProtection="1">
      <alignment horizontal="right" vertical="center"/>
    </xf>
    <xf numFmtId="165" fontId="12" fillId="6" borderId="37" xfId="7" applyNumberFormat="1" applyFont="1" applyFill="1" applyBorder="1" applyAlignment="1" applyProtection="1">
      <alignment horizontal="right" vertical="center"/>
    </xf>
    <xf numFmtId="165" fontId="12" fillId="6" borderId="39" xfId="7" applyNumberFormat="1" applyFont="1" applyFill="1" applyBorder="1" applyAlignment="1" applyProtection="1">
      <alignment horizontal="right" vertical="center"/>
    </xf>
    <xf numFmtId="0" fontId="6" fillId="6" borderId="39" xfId="5" applyFont="1" applyFill="1" applyBorder="1" applyAlignment="1">
      <alignment vertical="center"/>
    </xf>
    <xf numFmtId="165" fontId="12" fillId="6" borderId="40" xfId="7" applyNumberFormat="1" applyFont="1" applyFill="1" applyBorder="1" applyAlignment="1" applyProtection="1">
      <alignment horizontal="right" vertical="center"/>
    </xf>
    <xf numFmtId="165" fontId="12" fillId="6" borderId="39" xfId="5" applyNumberFormat="1" applyFont="1" applyFill="1" applyBorder="1" applyAlignment="1" applyProtection="1">
      <alignment horizontal="left" vertical="center"/>
    </xf>
    <xf numFmtId="164" fontId="6" fillId="3" borderId="38" xfId="7" applyNumberFormat="1" applyFont="1" applyFill="1" applyBorder="1" applyAlignment="1" applyProtection="1">
      <alignment horizontal="right" vertical="center"/>
    </xf>
    <xf numFmtId="49" fontId="12" fillId="0" borderId="52" xfId="5" applyNumberFormat="1" applyFont="1" applyFill="1" applyBorder="1" applyAlignment="1" applyProtection="1">
      <alignment horizontal="center" vertical="center"/>
    </xf>
    <xf numFmtId="49" fontId="12" fillId="0" borderId="12" xfId="5" applyNumberFormat="1" applyFont="1" applyFill="1" applyBorder="1" applyAlignment="1" applyProtection="1">
      <alignment horizontal="left" vertical="center"/>
    </xf>
    <xf numFmtId="166" fontId="6" fillId="6" borderId="52" xfId="5" applyNumberFormat="1" applyFont="1" applyFill="1" applyBorder="1" applyAlignment="1" applyProtection="1">
      <alignment horizontal="right" vertical="center"/>
    </xf>
    <xf numFmtId="165" fontId="6" fillId="6" borderId="12" xfId="5" applyNumberFormat="1" applyFont="1" applyFill="1" applyBorder="1" applyAlignment="1" applyProtection="1">
      <alignment horizontal="right" vertical="center"/>
    </xf>
    <xf numFmtId="3" fontId="6" fillId="6" borderId="52" xfId="5" applyNumberFormat="1" applyFont="1" applyFill="1" applyBorder="1" applyAlignment="1">
      <alignment vertical="center"/>
    </xf>
    <xf numFmtId="3" fontId="6" fillId="6" borderId="62" xfId="5" applyNumberFormat="1" applyFont="1" applyFill="1" applyBorder="1" applyAlignment="1">
      <alignment vertical="center"/>
    </xf>
    <xf numFmtId="166" fontId="6" fillId="6" borderId="62" xfId="5" applyNumberFormat="1" applyFont="1" applyFill="1" applyBorder="1" applyAlignment="1" applyProtection="1">
      <alignment horizontal="right" vertical="center"/>
    </xf>
    <xf numFmtId="167" fontId="6" fillId="6" borderId="55" xfId="5" applyNumberFormat="1" applyFont="1" applyFill="1" applyBorder="1" applyAlignment="1" applyProtection="1">
      <alignment horizontal="right" vertical="center"/>
    </xf>
    <xf numFmtId="165" fontId="6" fillId="6" borderId="56" xfId="7" applyNumberFormat="1" applyFont="1" applyFill="1" applyBorder="1" applyAlignment="1" applyProtection="1">
      <alignment horizontal="right" vertical="center"/>
    </xf>
    <xf numFmtId="166" fontId="6" fillId="6" borderId="49" xfId="5" applyNumberFormat="1" applyFont="1" applyFill="1" applyBorder="1" applyAlignment="1" applyProtection="1">
      <alignment horizontal="right" vertical="center"/>
    </xf>
    <xf numFmtId="165" fontId="6" fillId="6" borderId="48" xfId="7" applyNumberFormat="1" applyFont="1" applyFill="1" applyBorder="1" applyAlignment="1" applyProtection="1">
      <alignment horizontal="right" vertical="center"/>
    </xf>
    <xf numFmtId="3" fontId="6" fillId="6" borderId="49" xfId="5" applyNumberFormat="1" applyFont="1" applyFill="1" applyBorder="1" applyAlignment="1">
      <alignment vertical="center"/>
    </xf>
    <xf numFmtId="3" fontId="6" fillId="6" borderId="0" xfId="5" applyNumberFormat="1" applyFont="1" applyFill="1" applyBorder="1" applyAlignment="1">
      <alignment vertical="center"/>
    </xf>
    <xf numFmtId="166" fontId="6" fillId="6" borderId="0" xfId="5" applyNumberFormat="1" applyFont="1" applyFill="1" applyBorder="1" applyAlignment="1" applyProtection="1">
      <alignment horizontal="right" vertical="center"/>
    </xf>
    <xf numFmtId="167" fontId="6" fillId="6" borderId="57" xfId="5" applyNumberFormat="1" applyFont="1" applyFill="1" applyBorder="1" applyAlignment="1" applyProtection="1">
      <alignment horizontal="right" vertical="center"/>
    </xf>
    <xf numFmtId="49" fontId="6" fillId="0" borderId="58" xfId="5" applyNumberFormat="1" applyFont="1" applyFill="1" applyBorder="1" applyAlignment="1" applyProtection="1">
      <alignment horizontal="center" vertical="center"/>
    </xf>
    <xf numFmtId="49" fontId="12" fillId="0" borderId="9" xfId="5" applyNumberFormat="1" applyFont="1" applyFill="1" applyBorder="1" applyAlignment="1" applyProtection="1">
      <alignment horizontal="left" vertical="center"/>
    </xf>
    <xf numFmtId="166" fontId="6" fillId="6" borderId="58" xfId="5" applyNumberFormat="1" applyFont="1" applyFill="1" applyBorder="1" applyAlignment="1" applyProtection="1">
      <alignment horizontal="right" vertical="center"/>
    </xf>
    <xf numFmtId="165" fontId="6" fillId="6" borderId="9" xfId="7" applyNumberFormat="1" applyFont="1" applyFill="1" applyBorder="1" applyAlignment="1" applyProtection="1">
      <alignment horizontal="right" vertical="center"/>
    </xf>
    <xf numFmtId="3" fontId="6" fillId="6" borderId="58" xfId="5" applyNumberFormat="1" applyFont="1" applyFill="1" applyBorder="1" applyAlignment="1">
      <alignment vertical="center"/>
    </xf>
    <xf numFmtId="3" fontId="6" fillId="6" borderId="59" xfId="5" applyNumberFormat="1" applyFont="1" applyFill="1" applyBorder="1" applyAlignment="1">
      <alignment vertical="center"/>
    </xf>
    <xf numFmtId="166" fontId="6" fillId="6" borderId="59" xfId="5" applyNumberFormat="1" applyFont="1" applyFill="1" applyBorder="1" applyAlignment="1" applyProtection="1">
      <alignment horizontal="right" vertical="center"/>
    </xf>
    <xf numFmtId="167" fontId="6" fillId="6" borderId="60" xfId="5" applyNumberFormat="1" applyFont="1" applyFill="1" applyBorder="1" applyAlignment="1" applyProtection="1">
      <alignment horizontal="right" vertical="center"/>
    </xf>
    <xf numFmtId="0" fontId="6" fillId="0" borderId="0" xfId="9" applyFont="1" applyFill="1" applyBorder="1"/>
    <xf numFmtId="3" fontId="6" fillId="6" borderId="12" xfId="5" applyNumberFormat="1" applyFont="1" applyFill="1" applyBorder="1" applyAlignment="1">
      <alignment vertical="center"/>
    </xf>
    <xf numFmtId="166" fontId="6" fillId="0" borderId="0" xfId="5" applyNumberFormat="1" applyFont="1" applyFill="1" applyBorder="1" applyAlignment="1" applyProtection="1">
      <alignment horizontal="right" vertical="center"/>
    </xf>
    <xf numFmtId="165" fontId="6" fillId="0" borderId="0" xfId="5" applyNumberFormat="1" applyFont="1" applyFill="1" applyBorder="1" applyAlignment="1" applyProtection="1">
      <alignment horizontal="right" vertical="center"/>
    </xf>
    <xf numFmtId="165" fontId="6" fillId="0" borderId="0" xfId="7" applyNumberFormat="1" applyFont="1" applyFill="1" applyBorder="1" applyAlignment="1" applyProtection="1">
      <alignment horizontal="right" vertical="center"/>
    </xf>
    <xf numFmtId="0" fontId="6" fillId="0" borderId="59" xfId="5" applyFont="1" applyFill="1" applyBorder="1" applyAlignment="1">
      <alignment vertical="center"/>
    </xf>
    <xf numFmtId="49" fontId="12" fillId="0" borderId="13" xfId="5" applyNumberFormat="1" applyFont="1" applyFill="1" applyBorder="1" applyAlignment="1" applyProtection="1">
      <alignment horizontal="left" vertical="center"/>
    </xf>
    <xf numFmtId="167" fontId="6" fillId="6" borderId="63" xfId="5" applyNumberFormat="1" applyFont="1" applyFill="1" applyBorder="1" applyAlignment="1" applyProtection="1">
      <alignment horizontal="right" vertical="center"/>
    </xf>
    <xf numFmtId="3" fontId="6" fillId="6" borderId="48" xfId="5" applyNumberFormat="1" applyFont="1" applyFill="1" applyBorder="1" applyAlignment="1">
      <alignment vertical="center"/>
    </xf>
    <xf numFmtId="3" fontId="6" fillId="6" borderId="9" xfId="5" applyNumberFormat="1" applyFont="1" applyFill="1" applyBorder="1" applyAlignment="1">
      <alignment vertical="center"/>
    </xf>
    <xf numFmtId="10" fontId="6" fillId="0" borderId="0" xfId="5" applyNumberFormat="1" applyFont="1" applyFill="1" applyBorder="1" applyAlignment="1">
      <alignment vertical="center"/>
    </xf>
    <xf numFmtId="3" fontId="6" fillId="6" borderId="0" xfId="5" applyNumberFormat="1" applyFont="1" applyFill="1" applyBorder="1" applyAlignment="1" applyProtection="1">
      <alignment horizontal="right" vertical="center"/>
    </xf>
    <xf numFmtId="3" fontId="6" fillId="6" borderId="37" xfId="5" applyNumberFormat="1" applyFont="1" applyFill="1" applyBorder="1" applyAlignment="1" applyProtection="1">
      <alignment horizontal="right" vertical="center"/>
    </xf>
    <xf numFmtId="49" fontId="6" fillId="0" borderId="89" xfId="5" applyNumberFormat="1" applyFont="1" applyFill="1" applyBorder="1" applyAlignment="1" applyProtection="1">
      <alignment horizontal="center" vertical="center"/>
    </xf>
    <xf numFmtId="49" fontId="12" fillId="0" borderId="90" xfId="5" applyNumberFormat="1" applyFont="1" applyFill="1" applyBorder="1" applyAlignment="1" applyProtection="1">
      <alignment horizontal="left" vertical="center"/>
    </xf>
    <xf numFmtId="49" fontId="12" fillId="0" borderId="49" xfId="5" applyNumberFormat="1" applyFont="1" applyFill="1" applyBorder="1" applyAlignment="1" applyProtection="1">
      <alignment horizontal="left" vertical="center"/>
    </xf>
    <xf numFmtId="0" fontId="1" fillId="0" borderId="48" xfId="0" applyFont="1" applyBorder="1"/>
    <xf numFmtId="0" fontId="6" fillId="0" borderId="0" xfId="6" applyFont="1" applyFill="1" applyBorder="1" applyAlignment="1">
      <alignment vertical="center"/>
    </xf>
    <xf numFmtId="0" fontId="0" fillId="0" borderId="0" xfId="0" applyFont="1"/>
    <xf numFmtId="0" fontId="33" fillId="0" borderId="0" xfId="13" applyFill="1" applyBorder="1" applyAlignment="1">
      <alignment vertical="center"/>
    </xf>
    <xf numFmtId="0" fontId="30" fillId="0" borderId="0" xfId="10" applyFont="1"/>
    <xf numFmtId="3" fontId="12" fillId="0" borderId="0" xfId="10" applyNumberFormat="1" applyFont="1"/>
    <xf numFmtId="0" fontId="12" fillId="0" borderId="0" xfId="10" applyFont="1"/>
    <xf numFmtId="0" fontId="6" fillId="0" borderId="0" xfId="1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69" xfId="5" applyFont="1" applyFill="1" applyBorder="1" applyAlignment="1">
      <alignment horizontal="left" vertical="center" indent="1"/>
    </xf>
    <xf numFmtId="168" fontId="6" fillId="0" borderId="3" xfId="4" applyNumberFormat="1" applyFont="1" applyFill="1" applyBorder="1" applyAlignment="1">
      <alignment horizontal="right" vertical="center" indent="1"/>
    </xf>
    <xf numFmtId="168" fontId="6" fillId="0" borderId="30" xfId="4" applyNumberFormat="1" applyFont="1" applyFill="1" applyBorder="1" applyAlignment="1">
      <alignment horizontal="right" vertical="center" indent="1"/>
    </xf>
    <xf numFmtId="168" fontId="1" fillId="0" borderId="43" xfId="0" applyNumberFormat="1" applyFont="1" applyFill="1" applyBorder="1"/>
    <xf numFmtId="3" fontId="1" fillId="0" borderId="43" xfId="0" applyNumberFormat="1" applyFont="1" applyFill="1" applyBorder="1"/>
    <xf numFmtId="3" fontId="1" fillId="8" borderId="58" xfId="0" applyNumberFormat="1" applyFont="1" applyFill="1" applyBorder="1"/>
    <xf numFmtId="168" fontId="1" fillId="0" borderId="21" xfId="1" applyNumberFormat="1" applyFont="1" applyFill="1" applyBorder="1"/>
    <xf numFmtId="0" fontId="1" fillId="0" borderId="0" xfId="0" applyFont="1" applyFill="1"/>
    <xf numFmtId="0" fontId="1" fillId="0" borderId="70" xfId="5" applyFont="1" applyFill="1" applyBorder="1" applyAlignment="1">
      <alignment horizontal="left" vertical="center" indent="1"/>
    </xf>
    <xf numFmtId="168" fontId="6" fillId="0" borderId="12" xfId="4" applyNumberFormat="1" applyFont="1" applyFill="1" applyBorder="1" applyAlignment="1">
      <alignment horizontal="right" vertical="center" indent="1"/>
    </xf>
    <xf numFmtId="168" fontId="6" fillId="0" borderId="52" xfId="4" applyNumberFormat="1" applyFont="1" applyFill="1" applyBorder="1" applyAlignment="1">
      <alignment horizontal="right" vertical="center" indent="1"/>
    </xf>
    <xf numFmtId="168" fontId="1" fillId="0" borderId="11" xfId="0" applyNumberFormat="1" applyFont="1" applyFill="1" applyBorder="1"/>
    <xf numFmtId="3" fontId="1" fillId="0" borderId="11" xfId="0" applyNumberFormat="1" applyFont="1" applyFill="1" applyBorder="1"/>
    <xf numFmtId="3" fontId="1" fillId="8" borderId="52" xfId="0" applyNumberFormat="1" applyFont="1" applyFill="1" applyBorder="1"/>
    <xf numFmtId="168" fontId="1" fillId="0" borderId="23" xfId="1" applyNumberFormat="1" applyFont="1" applyFill="1" applyBorder="1"/>
    <xf numFmtId="0" fontId="6" fillId="0" borderId="70" xfId="5" applyFont="1" applyFill="1" applyBorder="1" applyAlignment="1">
      <alignment horizontal="left" vertical="center" indent="1"/>
    </xf>
    <xf numFmtId="0" fontId="6" fillId="0" borderId="72" xfId="5" applyFont="1" applyFill="1" applyBorder="1" applyAlignment="1">
      <alignment horizontal="left" vertical="center" indent="1"/>
    </xf>
    <xf numFmtId="168" fontId="6" fillId="0" borderId="7" xfId="4" applyNumberFormat="1" applyFont="1" applyFill="1" applyBorder="1" applyAlignment="1">
      <alignment horizontal="right" vertical="center" indent="1"/>
    </xf>
    <xf numFmtId="168" fontId="6" fillId="0" borderId="73" xfId="4" applyNumberFormat="1" applyFont="1" applyFill="1" applyBorder="1" applyAlignment="1">
      <alignment horizontal="right" vertical="center" indent="1"/>
    </xf>
    <xf numFmtId="168" fontId="1" fillId="0" borderId="74" xfId="0" applyNumberFormat="1" applyFont="1" applyFill="1" applyBorder="1"/>
    <xf numFmtId="3" fontId="1" fillId="0" borderId="74" xfId="0" applyNumberFormat="1" applyFont="1" applyFill="1" applyBorder="1"/>
    <xf numFmtId="3" fontId="1" fillId="8" borderId="53" xfId="0" applyNumberFormat="1" applyFont="1" applyFill="1" applyBorder="1"/>
    <xf numFmtId="168" fontId="1" fillId="0" borderId="25" xfId="1" applyNumberFormat="1" applyFont="1" applyFill="1" applyBorder="1"/>
    <xf numFmtId="0" fontId="6" fillId="0" borderId="0" xfId="10" applyFont="1"/>
    <xf numFmtId="168" fontId="6" fillId="0" borderId="0" xfId="10" applyNumberFormat="1" applyFont="1" applyAlignment="1"/>
    <xf numFmtId="0" fontId="1" fillId="0" borderId="0" xfId="0" applyFont="1" applyAlignment="1"/>
    <xf numFmtId="10" fontId="6" fillId="0" borderId="0" xfId="10" applyNumberFormat="1" applyFont="1" applyAlignment="1"/>
    <xf numFmtId="168" fontId="1" fillId="0" borderId="0" xfId="0" applyNumberFormat="1" applyFont="1" applyAlignment="1"/>
    <xf numFmtId="0" fontId="2" fillId="0" borderId="0" xfId="0" applyFont="1" applyFill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0" fontId="1" fillId="7" borderId="71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 vertical="center" wrapText="1"/>
    </xf>
    <xf numFmtId="164" fontId="1" fillId="0" borderId="75" xfId="0" applyNumberFormat="1" applyFont="1" applyFill="1" applyBorder="1" applyAlignment="1">
      <alignment horizontal="right" indent="1"/>
    </xf>
    <xf numFmtId="3" fontId="1" fillId="0" borderId="10" xfId="0" applyNumberFormat="1" applyFont="1" applyFill="1" applyBorder="1" applyAlignment="1">
      <alignment horizontal="right" indent="1"/>
    </xf>
    <xf numFmtId="164" fontId="1" fillId="0" borderId="10" xfId="0" applyNumberFormat="1" applyFont="1" applyFill="1" applyBorder="1"/>
    <xf numFmtId="3" fontId="1" fillId="0" borderId="20" xfId="0" applyNumberFormat="1" applyFont="1" applyFill="1" applyBorder="1" applyAlignment="1">
      <alignment horizontal="right" indent="1"/>
    </xf>
    <xf numFmtId="10" fontId="1" fillId="0" borderId="69" xfId="0" applyNumberFormat="1" applyFont="1" applyFill="1" applyBorder="1" applyAlignment="1">
      <alignment horizontal="right" indent="1"/>
    </xf>
    <xf numFmtId="164" fontId="1" fillId="0" borderId="22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164" fontId="1" fillId="0" borderId="13" xfId="0" applyNumberFormat="1" applyFont="1" applyFill="1" applyBorder="1"/>
    <xf numFmtId="3" fontId="1" fillId="0" borderId="22" xfId="0" applyNumberFormat="1" applyFont="1" applyFill="1" applyBorder="1" applyAlignment="1">
      <alignment horizontal="right" indent="1"/>
    </xf>
    <xf numFmtId="10" fontId="1" fillId="0" borderId="70" xfId="0" applyNumberFormat="1" applyFont="1" applyFill="1" applyBorder="1" applyAlignment="1">
      <alignment horizontal="right" indent="1"/>
    </xf>
    <xf numFmtId="164" fontId="1" fillId="0" borderId="24" xfId="0" applyNumberFormat="1" applyFon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164" fontId="1" fillId="0" borderId="15" xfId="0" applyNumberFormat="1" applyFont="1" applyFill="1" applyBorder="1"/>
    <xf numFmtId="3" fontId="1" fillId="0" borderId="71" xfId="0" applyNumberFormat="1" applyFont="1" applyFill="1" applyBorder="1" applyAlignment="1">
      <alignment horizontal="right" indent="1"/>
    </xf>
    <xf numFmtId="10" fontId="1" fillId="0" borderId="72" xfId="0" applyNumberFormat="1" applyFont="1" applyFill="1" applyBorder="1" applyAlignment="1">
      <alignment horizontal="right" indent="1"/>
    </xf>
    <xf numFmtId="164" fontId="1" fillId="7" borderId="67" xfId="0" applyNumberFormat="1" applyFont="1" applyFill="1" applyBorder="1" applyAlignment="1">
      <alignment horizontal="right" indent="1"/>
    </xf>
    <xf numFmtId="3" fontId="1" fillId="7" borderId="19" xfId="0" applyNumberFormat="1" applyFont="1" applyFill="1" applyBorder="1" applyAlignment="1">
      <alignment horizontal="right" indent="1"/>
    </xf>
    <xf numFmtId="164" fontId="1" fillId="7" borderId="19" xfId="0" applyNumberFormat="1" applyFont="1" applyFill="1" applyBorder="1" applyAlignment="1">
      <alignment horizontal="right" indent="1"/>
    </xf>
    <xf numFmtId="3" fontId="1" fillId="7" borderId="26" xfId="0" applyNumberFormat="1" applyFont="1" applyFill="1" applyBorder="1" applyAlignment="1">
      <alignment horizontal="right" indent="1"/>
    </xf>
    <xf numFmtId="3" fontId="1" fillId="7" borderId="67" xfId="0" applyNumberFormat="1" applyFont="1" applyFill="1" applyBorder="1" applyAlignment="1">
      <alignment horizontal="right" indent="1"/>
    </xf>
    <xf numFmtId="10" fontId="1" fillId="7" borderId="68" xfId="1" applyNumberFormat="1" applyFont="1" applyFill="1" applyBorder="1" applyAlignment="1">
      <alignment horizontal="right" indent="1"/>
    </xf>
    <xf numFmtId="0" fontId="1" fillId="7" borderId="64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/>
    </xf>
    <xf numFmtId="0" fontId="6" fillId="0" borderId="76" xfId="5" applyFont="1" applyFill="1" applyBorder="1" applyAlignment="1">
      <alignment horizontal="left" vertical="center"/>
    </xf>
    <xf numFmtId="0" fontId="1" fillId="0" borderId="70" xfId="5" applyFont="1" applyFill="1" applyBorder="1" applyAlignment="1">
      <alignment horizontal="left" vertical="center"/>
    </xf>
    <xf numFmtId="0" fontId="6" fillId="0" borderId="70" xfId="5" applyFont="1" applyFill="1" applyBorder="1" applyAlignment="1">
      <alignment horizontal="left" vertical="center"/>
    </xf>
    <xf numFmtId="0" fontId="6" fillId="0" borderId="77" xfId="5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Alignment="1">
      <alignment wrapText="1"/>
    </xf>
    <xf numFmtId="0" fontId="34" fillId="0" borderId="0" xfId="0" applyFont="1"/>
    <xf numFmtId="0" fontId="35" fillId="0" borderId="0" xfId="11" applyFont="1" applyFill="1"/>
    <xf numFmtId="0" fontId="31" fillId="0" borderId="0" xfId="11" applyFont="1" applyFill="1"/>
    <xf numFmtId="0" fontId="11" fillId="0" borderId="0" xfId="11" applyFont="1" applyFill="1"/>
    <xf numFmtId="0" fontId="36" fillId="0" borderId="0" xfId="11" applyFont="1" applyFill="1"/>
    <xf numFmtId="0" fontId="11" fillId="0" borderId="0" xfId="11" applyFont="1"/>
    <xf numFmtId="0" fontId="37" fillId="0" borderId="0" xfId="12" applyFont="1" applyFill="1" applyBorder="1" applyAlignment="1"/>
    <xf numFmtId="0" fontId="11" fillId="0" borderId="0" xfId="12" applyFont="1" applyFill="1" applyBorder="1" applyAlignment="1">
      <alignment horizontal="left" wrapText="1"/>
    </xf>
    <xf numFmtId="49" fontId="11" fillId="0" borderId="0" xfId="12" applyNumberFormat="1" applyFont="1" applyFill="1" applyBorder="1" applyAlignment="1">
      <alignment horizontal="center" wrapText="1"/>
    </xf>
    <xf numFmtId="4" fontId="11" fillId="0" borderId="0" xfId="12" applyNumberFormat="1" applyFont="1" applyFill="1" applyBorder="1" applyAlignment="1">
      <alignment horizontal="center" wrapText="1"/>
    </xf>
    <xf numFmtId="0" fontId="11" fillId="0" borderId="0" xfId="12" applyFont="1" applyFill="1" applyBorder="1" applyAlignment="1">
      <alignment horizontal="center" wrapText="1"/>
    </xf>
    <xf numFmtId="4" fontId="11" fillId="0" borderId="0" xfId="12" applyNumberFormat="1" applyFont="1" applyFill="1" applyBorder="1" applyAlignment="1">
      <alignment horizontal="left" wrapText="1"/>
    </xf>
    <xf numFmtId="0" fontId="11" fillId="0" borderId="0" xfId="12" applyFont="1" applyFill="1" applyBorder="1" applyAlignment="1">
      <alignment horizontal="righ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33" fillId="0" borderId="13" xfId="13" applyBorder="1"/>
    <xf numFmtId="0" fontId="33" fillId="23" borderId="13" xfId="13" applyFill="1" applyBorder="1"/>
    <xf numFmtId="0" fontId="33" fillId="24" borderId="13" xfId="13" applyFill="1" applyBorder="1"/>
    <xf numFmtId="0" fontId="33" fillId="16" borderId="13" xfId="13" applyFill="1" applyBorder="1"/>
    <xf numFmtId="0" fontId="12" fillId="0" borderId="0" xfId="0" applyFont="1" applyFill="1"/>
    <xf numFmtId="3" fontId="2" fillId="0" borderId="19" xfId="0" applyNumberFormat="1" applyFont="1" applyFill="1" applyBorder="1"/>
    <xf numFmtId="3" fontId="2" fillId="0" borderId="68" xfId="0" applyNumberFormat="1" applyFont="1" applyFill="1" applyBorder="1"/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3" fontId="0" fillId="0" borderId="4" xfId="0" applyNumberFormat="1" applyFont="1" applyFill="1" applyBorder="1"/>
    <xf numFmtId="3" fontId="0" fillId="0" borderId="69" xfId="0" applyNumberFormat="1" applyFont="1" applyFill="1" applyBorder="1"/>
    <xf numFmtId="3" fontId="0" fillId="0" borderId="13" xfId="0" applyNumberFormat="1" applyFont="1" applyFill="1" applyBorder="1"/>
    <xf numFmtId="3" fontId="0" fillId="0" borderId="70" xfId="0" applyNumberFormat="1" applyFont="1" applyFill="1" applyBorder="1"/>
    <xf numFmtId="3" fontId="0" fillId="0" borderId="15" xfId="0" applyNumberFormat="1" applyFont="1" applyFill="1" applyBorder="1"/>
    <xf numFmtId="3" fontId="0" fillId="0" borderId="77" xfId="0" applyNumberFormat="1" applyFont="1" applyFill="1" applyBorder="1"/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2" xfId="0" applyFont="1" applyFill="1" applyBorder="1" applyAlignment="1"/>
    <xf numFmtId="0" fontId="0" fillId="0" borderId="24" xfId="0" applyFont="1" applyFill="1" applyBorder="1" applyAlignment="1"/>
    <xf numFmtId="0" fontId="0" fillId="0" borderId="75" xfId="0" applyFont="1" applyFill="1" applyBorder="1" applyAlignment="1"/>
    <xf numFmtId="0" fontId="34" fillId="0" borderId="0" xfId="0" applyFont="1" applyFill="1"/>
    <xf numFmtId="0" fontId="11" fillId="0" borderId="0" xfId="0" applyFont="1" applyFill="1"/>
    <xf numFmtId="0" fontId="2" fillId="0" borderId="1" xfId="0" applyFont="1" applyFill="1" applyBorder="1" applyAlignment="1"/>
    <xf numFmtId="0" fontId="0" fillId="0" borderId="13" xfId="0" applyFont="1" applyFill="1" applyBorder="1" applyAlignment="1"/>
    <xf numFmtId="0" fontId="12" fillId="0" borderId="13" xfId="1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/>
    <xf numFmtId="3" fontId="1" fillId="0" borderId="13" xfId="0" applyNumberFormat="1" applyFont="1" applyFill="1" applyBorder="1"/>
    <xf numFmtId="3" fontId="1" fillId="9" borderId="13" xfId="0" applyNumberFormat="1" applyFont="1" applyFill="1" applyBorder="1"/>
    <xf numFmtId="3" fontId="2" fillId="0" borderId="13" xfId="0" applyNumberFormat="1" applyFont="1" applyFill="1" applyBorder="1"/>
    <xf numFmtId="3" fontId="2" fillId="9" borderId="13" xfId="0" applyNumberFormat="1" applyFont="1" applyFill="1" applyBorder="1"/>
    <xf numFmtId="0" fontId="1" fillId="0" borderId="13" xfId="0" applyFont="1" applyFill="1" applyBorder="1" applyAlignment="1"/>
    <xf numFmtId="3" fontId="2" fillId="0" borderId="13" xfId="4" applyNumberFormat="1" applyFont="1" applyFill="1" applyBorder="1" applyAlignment="1"/>
    <xf numFmtId="0" fontId="1" fillId="9" borderId="0" xfId="0" applyFont="1" applyFill="1"/>
    <xf numFmtId="10" fontId="1" fillId="0" borderId="13" xfId="0" applyNumberFormat="1" applyFont="1" applyFill="1" applyBorder="1"/>
    <xf numFmtId="168" fontId="1" fillId="9" borderId="13" xfId="0" applyNumberFormat="1" applyFont="1" applyFill="1" applyBorder="1"/>
    <xf numFmtId="168" fontId="1" fillId="0" borderId="13" xfId="0" applyNumberFormat="1" applyFont="1" applyFill="1" applyBorder="1"/>
    <xf numFmtId="4" fontId="1" fillId="0" borderId="0" xfId="0" applyNumberFormat="1" applyFont="1"/>
    <xf numFmtId="4" fontId="20" fillId="0" borderId="0" xfId="12" applyNumberFormat="1" applyFont="1" applyAlignment="1">
      <alignment horizontal="left" wrapText="1"/>
    </xf>
    <xf numFmtId="0" fontId="13" fillId="0" borderId="0" xfId="0" applyFont="1" applyFill="1" applyAlignment="1">
      <alignment horizontal="center"/>
    </xf>
    <xf numFmtId="3" fontId="17" fillId="0" borderId="0" xfId="0" applyNumberFormat="1" applyFont="1" applyFill="1"/>
    <xf numFmtId="0" fontId="1" fillId="0" borderId="0" xfId="8" applyFont="1" applyFill="1" applyAlignment="1"/>
    <xf numFmtId="3" fontId="1" fillId="0" borderId="0" xfId="0" applyNumberFormat="1" applyFo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6" fillId="0" borderId="13" xfId="5" applyFont="1" applyFill="1" applyBorder="1" applyAlignment="1">
      <alignment horizontal="left" vertical="center" indent="1"/>
    </xf>
    <xf numFmtId="3" fontId="6" fillId="0" borderId="13" xfId="1" applyNumberFormat="1" applyFont="1" applyFill="1" applyBorder="1" applyAlignment="1">
      <alignment horizontal="right" vertical="center" indent="1"/>
    </xf>
    <xf numFmtId="3" fontId="1" fillId="0" borderId="13" xfId="1" applyNumberFormat="1" applyFont="1" applyBorder="1"/>
    <xf numFmtId="3" fontId="1" fillId="0" borderId="13" xfId="0" applyNumberFormat="1" applyFont="1" applyBorder="1"/>
    <xf numFmtId="168" fontId="1" fillId="0" borderId="13" xfId="1" applyNumberFormat="1" applyFont="1" applyFill="1" applyBorder="1"/>
    <xf numFmtId="0" fontId="1" fillId="0" borderId="13" xfId="5" applyFont="1" applyFill="1" applyBorder="1" applyAlignment="1">
      <alignment horizontal="left" vertical="center" indent="1"/>
    </xf>
    <xf numFmtId="10" fontId="1" fillId="0" borderId="0" xfId="0" applyNumberFormat="1" applyFont="1"/>
    <xf numFmtId="3" fontId="2" fillId="0" borderId="13" xfId="4" applyNumberFormat="1" applyFont="1" applyFill="1" applyBorder="1" applyAlignment="1">
      <alignment horizontal="right" vertical="center" indent="1"/>
    </xf>
    <xf numFmtId="3" fontId="1" fillId="0" borderId="0" xfId="0" applyNumberFormat="1" applyFont="1" applyFill="1"/>
    <xf numFmtId="0" fontId="17" fillId="0" borderId="0" xfId="0" applyFont="1"/>
    <xf numFmtId="169" fontId="1" fillId="0" borderId="13" xfId="0" applyNumberFormat="1" applyFont="1" applyBorder="1"/>
    <xf numFmtId="172" fontId="1" fillId="0" borderId="13" xfId="0" applyNumberFormat="1" applyFont="1" applyFill="1" applyBorder="1"/>
    <xf numFmtId="3" fontId="1" fillId="8" borderId="13" xfId="0" applyNumberFormat="1" applyFont="1" applyFill="1" applyBorder="1"/>
    <xf numFmtId="3" fontId="2" fillId="0" borderId="0" xfId="0" applyNumberFormat="1" applyFont="1"/>
    <xf numFmtId="3" fontId="17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1" xfId="0" applyFont="1" applyFill="1" applyBorder="1"/>
    <xf numFmtId="0" fontId="1" fillId="0" borderId="49" xfId="0" applyFont="1" applyFill="1" applyBorder="1"/>
    <xf numFmtId="0" fontId="1" fillId="0" borderId="48" xfId="0" applyFont="1" applyFill="1" applyBorder="1"/>
    <xf numFmtId="0" fontId="13" fillId="0" borderId="49" xfId="0" applyFont="1" applyFill="1" applyBorder="1"/>
    <xf numFmtId="0" fontId="13" fillId="0" borderId="0" xfId="0" applyFont="1" applyFill="1" applyBorder="1"/>
    <xf numFmtId="0" fontId="1" fillId="0" borderId="61" xfId="0" applyFont="1" applyFill="1" applyBorder="1"/>
    <xf numFmtId="0" fontId="2" fillId="0" borderId="10" xfId="0" applyFont="1" applyFill="1" applyBorder="1"/>
    <xf numFmtId="0" fontId="1" fillId="0" borderId="58" xfId="0" applyFont="1" applyFill="1" applyBorder="1"/>
    <xf numFmtId="0" fontId="1" fillId="0" borderId="9" xfId="0" applyFont="1" applyFill="1" applyBorder="1"/>
    <xf numFmtId="0" fontId="13" fillId="0" borderId="58" xfId="0" applyFont="1" applyFill="1" applyBorder="1"/>
    <xf numFmtId="0" fontId="13" fillId="0" borderId="59" xfId="0" applyFont="1" applyFill="1" applyBorder="1"/>
    <xf numFmtId="0" fontId="1" fillId="0" borderId="10" xfId="0" applyFont="1" applyFill="1" applyBorder="1"/>
    <xf numFmtId="3" fontId="0" fillId="0" borderId="0" xfId="0" applyNumberFormat="1" applyFont="1" applyFill="1" applyBorder="1"/>
    <xf numFmtId="3" fontId="0" fillId="0" borderId="76" xfId="0" applyNumberFormat="1" applyFont="1" applyFill="1" applyBorder="1" applyAlignment="1"/>
    <xf numFmtId="0" fontId="0" fillId="0" borderId="0" xfId="0" applyFont="1" applyFill="1" applyBorder="1"/>
    <xf numFmtId="3" fontId="0" fillId="0" borderId="0" xfId="0" applyNumberFormat="1" applyFont="1" applyFill="1"/>
    <xf numFmtId="3" fontId="2" fillId="0" borderId="0" xfId="0" applyNumberFormat="1" applyFont="1" applyFill="1"/>
    <xf numFmtId="0" fontId="5" fillId="0" borderId="86" xfId="12" applyFont="1" applyFill="1" applyBorder="1" applyAlignment="1">
      <alignment horizontal="left" wrapText="1"/>
    </xf>
    <xf numFmtId="0" fontId="5" fillId="0" borderId="87" xfId="12" applyFont="1" applyFill="1" applyBorder="1" applyAlignment="1">
      <alignment horizontal="left" wrapText="1"/>
    </xf>
    <xf numFmtId="0" fontId="5" fillId="0" borderId="88" xfId="12" applyFont="1" applyFill="1" applyBorder="1" applyAlignment="1">
      <alignment horizontal="left" wrapText="1"/>
    </xf>
    <xf numFmtId="0" fontId="0" fillId="0" borderId="89" xfId="0" applyFont="1" applyFill="1" applyBorder="1"/>
    <xf numFmtId="3" fontId="0" fillId="0" borderId="91" xfId="0" applyNumberFormat="1" applyFont="1" applyFill="1" applyBorder="1"/>
    <xf numFmtId="9" fontId="0" fillId="0" borderId="90" xfId="0" applyNumberFormat="1" applyFont="1" applyFill="1" applyBorder="1" applyAlignment="1">
      <alignment horizontal="center"/>
    </xf>
    <xf numFmtId="0" fontId="0" fillId="0" borderId="49" xfId="0" applyFont="1" applyFill="1" applyBorder="1"/>
    <xf numFmtId="9" fontId="0" fillId="0" borderId="48" xfId="0" applyNumberFormat="1" applyFont="1" applyFill="1" applyBorder="1" applyAlignment="1">
      <alignment horizontal="center"/>
    </xf>
    <xf numFmtId="0" fontId="2" fillId="0" borderId="58" xfId="0" applyFont="1" applyFill="1" applyBorder="1"/>
    <xf numFmtId="3" fontId="2" fillId="0" borderId="59" xfId="0" applyNumberFormat="1" applyFont="1" applyFill="1" applyBorder="1"/>
    <xf numFmtId="9" fontId="2" fillId="0" borderId="9" xfId="0" applyNumberFormat="1" applyFont="1" applyFill="1" applyBorder="1" applyAlignment="1">
      <alignment horizontal="center"/>
    </xf>
    <xf numFmtId="0" fontId="12" fillId="7" borderId="68" xfId="5" applyFont="1" applyFill="1" applyBorder="1" applyAlignment="1">
      <alignment horizontal="center" vertical="center" wrapText="1"/>
    </xf>
    <xf numFmtId="0" fontId="12" fillId="7" borderId="18" xfId="10" applyFont="1" applyFill="1" applyBorder="1" applyAlignment="1">
      <alignment horizontal="center" vertical="center" wrapText="1"/>
    </xf>
    <xf numFmtId="0" fontId="12" fillId="7" borderId="2" xfId="10" applyFont="1" applyFill="1" applyBorder="1" applyAlignment="1">
      <alignment horizontal="center" vertical="center" wrapText="1"/>
    </xf>
    <xf numFmtId="0" fontId="12" fillId="7" borderId="27" xfId="10" applyFont="1" applyFill="1" applyBorder="1" applyAlignment="1">
      <alignment horizontal="center" vertical="center" wrapText="1"/>
    </xf>
    <xf numFmtId="0" fontId="12" fillId="7" borderId="17" xfId="10" applyFont="1" applyFill="1" applyBorder="1" applyAlignment="1">
      <alignment horizontal="left" vertical="center" indent="1"/>
    </xf>
    <xf numFmtId="168" fontId="2" fillId="7" borderId="34" xfId="4" applyNumberFormat="1" applyFont="1" applyFill="1" applyBorder="1" applyAlignment="1">
      <alignment horizontal="right" vertical="center" indent="1"/>
    </xf>
    <xf numFmtId="168" fontId="2" fillId="7" borderId="40" xfId="4" applyNumberFormat="1" applyFont="1" applyFill="1" applyBorder="1" applyAlignment="1">
      <alignment horizontal="right" vertical="center" indent="1"/>
    </xf>
    <xf numFmtId="168" fontId="2" fillId="7" borderId="38" xfId="1" applyNumberFormat="1" applyFont="1" applyFill="1" applyBorder="1"/>
    <xf numFmtId="3" fontId="2" fillId="7" borderId="39" xfId="1" applyNumberFormat="1" applyFont="1" applyFill="1" applyBorder="1"/>
    <xf numFmtId="3" fontId="2" fillId="7" borderId="27" xfId="1" applyNumberFormat="1" applyFont="1" applyFill="1" applyBorder="1"/>
    <xf numFmtId="3" fontId="2" fillId="7" borderId="16" xfId="1" applyNumberFormat="1" applyFont="1" applyFill="1" applyBorder="1"/>
    <xf numFmtId="168" fontId="2" fillId="7" borderId="27" xfId="1" applyNumberFormat="1" applyFont="1" applyFill="1" applyBorder="1"/>
    <xf numFmtId="0" fontId="12" fillId="7" borderId="13" xfId="5" applyFont="1" applyFill="1" applyBorder="1" applyAlignment="1">
      <alignment horizontal="center" vertical="center" wrapText="1"/>
    </xf>
    <xf numFmtId="0" fontId="12" fillId="7" borderId="13" xfId="10" applyFont="1" applyFill="1" applyBorder="1" applyAlignment="1">
      <alignment horizontal="center" vertical="center" wrapText="1"/>
    </xf>
    <xf numFmtId="0" fontId="12" fillId="7" borderId="13" xfId="10" applyFont="1" applyFill="1" applyBorder="1" applyAlignment="1">
      <alignment horizontal="left" vertical="center" indent="1"/>
    </xf>
    <xf numFmtId="3" fontId="2" fillId="7" borderId="13" xfId="4" applyNumberFormat="1" applyFont="1" applyFill="1" applyBorder="1" applyAlignment="1">
      <alignment horizontal="right" vertical="center" indent="1"/>
    </xf>
    <xf numFmtId="168" fontId="2" fillId="7" borderId="13" xfId="1" applyNumberFormat="1" applyFont="1" applyFill="1" applyBorder="1"/>
    <xf numFmtId="169" fontId="2" fillId="7" borderId="13" xfId="0" applyNumberFormat="1" applyFont="1" applyFill="1" applyBorder="1" applyAlignment="1">
      <alignment horizontal="center"/>
    </xf>
    <xf numFmtId="172" fontId="2" fillId="7" borderId="13" xfId="4" applyNumberFormat="1" applyFont="1" applyFill="1" applyBorder="1" applyAlignment="1">
      <alignment horizontal="right" vertical="center" indent="1"/>
    </xf>
    <xf numFmtId="0" fontId="2" fillId="7" borderId="15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3" fontId="7" fillId="7" borderId="13" xfId="6" applyNumberFormat="1" applyFont="1" applyFill="1" applyBorder="1" applyAlignment="1">
      <alignment horizontal="center" vertical="center" wrapText="1"/>
    </xf>
    <xf numFmtId="0" fontId="2" fillId="7" borderId="13" xfId="0" applyFont="1" applyFill="1" applyBorder="1"/>
    <xf numFmtId="169" fontId="2" fillId="7" borderId="13" xfId="0" applyNumberFormat="1" applyFont="1" applyFill="1" applyBorder="1"/>
    <xf numFmtId="4" fontId="2" fillId="7" borderId="13" xfId="0" applyNumberFormat="1" applyFont="1" applyFill="1" applyBorder="1"/>
    <xf numFmtId="3" fontId="2" fillId="7" borderId="13" xfId="0" applyNumberFormat="1" applyFont="1" applyFill="1" applyBorder="1"/>
    <xf numFmtId="164" fontId="7" fillId="7" borderId="13" xfId="6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2" fillId="7" borderId="68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/>
    <xf numFmtId="3" fontId="2" fillId="7" borderId="19" xfId="0" applyNumberFormat="1" applyFont="1" applyFill="1" applyBorder="1"/>
    <xf numFmtId="3" fontId="2" fillId="7" borderId="68" xfId="0" applyNumberFormat="1" applyFont="1" applyFill="1" applyBorder="1"/>
    <xf numFmtId="3" fontId="0" fillId="8" borderId="4" xfId="0" applyNumberFormat="1" applyFont="1" applyFill="1" applyBorder="1"/>
    <xf numFmtId="3" fontId="0" fillId="8" borderId="13" xfId="0" applyNumberFormat="1" applyFont="1" applyFill="1" applyBorder="1"/>
    <xf numFmtId="3" fontId="0" fillId="8" borderId="15" xfId="0" applyNumberFormat="1" applyFont="1" applyFill="1" applyBorder="1"/>
    <xf numFmtId="3" fontId="0" fillId="8" borderId="10" xfId="0" applyNumberFormat="1" applyFont="1" applyFill="1" applyBorder="1" applyAlignment="1"/>
    <xf numFmtId="0" fontId="0" fillId="8" borderId="15" xfId="0" applyFont="1" applyFill="1" applyBorder="1" applyAlignment="1">
      <alignment horizontal="center"/>
    </xf>
    <xf numFmtId="3" fontId="2" fillId="8" borderId="19" xfId="0" applyNumberFormat="1" applyFont="1" applyFill="1" applyBorder="1"/>
    <xf numFmtId="0" fontId="2" fillId="7" borderId="2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 wrapText="1"/>
    </xf>
    <xf numFmtId="0" fontId="0" fillId="8" borderId="0" xfId="0" applyFill="1"/>
    <xf numFmtId="0" fontId="12" fillId="4" borderId="1" xfId="5" applyFont="1" applyFill="1" applyBorder="1" applyAlignment="1">
      <alignment horizontal="center" vertical="center" wrapText="1"/>
    </xf>
    <xf numFmtId="0" fontId="12" fillId="4" borderId="2" xfId="5" applyFont="1" applyFill="1" applyBorder="1" applyAlignment="1">
      <alignment horizontal="center" vertical="center" wrapText="1"/>
    </xf>
    <xf numFmtId="0" fontId="12" fillId="4" borderId="5" xfId="5" applyFont="1" applyFill="1" applyBorder="1" applyAlignment="1">
      <alignment horizontal="center" vertical="center" wrapText="1"/>
    </xf>
    <xf numFmtId="0" fontId="12" fillId="4" borderId="6" xfId="5" applyFont="1" applyFill="1" applyBorder="1" applyAlignment="1">
      <alignment horizontal="center" vertical="center" wrapText="1"/>
    </xf>
    <xf numFmtId="0" fontId="12" fillId="4" borderId="28" xfId="5" applyFont="1" applyFill="1" applyBorder="1" applyAlignment="1">
      <alignment horizontal="center" vertical="center" wrapText="1"/>
    </xf>
    <xf numFmtId="0" fontId="12" fillId="4" borderId="32" xfId="5" applyFont="1" applyFill="1" applyBorder="1" applyAlignment="1">
      <alignment horizontal="center" vertical="center" wrapText="1"/>
    </xf>
    <xf numFmtId="0" fontId="12" fillId="4" borderId="34" xfId="5" applyFont="1" applyFill="1" applyBorder="1" applyAlignment="1">
      <alignment horizontal="center" vertical="center" wrapText="1"/>
    </xf>
    <xf numFmtId="0" fontId="12" fillId="4" borderId="36" xfId="5" applyFont="1" applyFill="1" applyBorder="1" applyAlignment="1">
      <alignment horizontal="center" vertical="center" wrapText="1"/>
    </xf>
    <xf numFmtId="0" fontId="12" fillId="0" borderId="39" xfId="5" applyNumberFormat="1" applyFont="1" applyFill="1" applyBorder="1" applyAlignment="1" applyProtection="1">
      <alignment horizontal="left" vertical="center" wrapText="1"/>
    </xf>
    <xf numFmtId="0" fontId="12" fillId="0" borderId="40" xfId="5" applyNumberFormat="1" applyFont="1" applyFill="1" applyBorder="1" applyAlignment="1" applyProtection="1">
      <alignment horizontal="left" vertical="center" wrapText="1"/>
    </xf>
    <xf numFmtId="49" fontId="12" fillId="0" borderId="64" xfId="5" applyNumberFormat="1" applyFont="1" applyFill="1" applyBorder="1" applyAlignment="1" applyProtection="1">
      <alignment horizontal="center" vertical="center"/>
    </xf>
    <xf numFmtId="49" fontId="12" fillId="0" borderId="65" xfId="5" applyNumberFormat="1" applyFont="1" applyFill="1" applyBorder="1" applyAlignment="1" applyProtection="1">
      <alignment horizontal="center" vertical="center"/>
    </xf>
    <xf numFmtId="0" fontId="12" fillId="4" borderId="20" xfId="5" applyNumberFormat="1" applyFont="1" applyFill="1" applyBorder="1" applyAlignment="1" applyProtection="1">
      <alignment horizontal="center" vertical="center" wrapText="1"/>
    </xf>
    <xf numFmtId="0" fontId="12" fillId="4" borderId="4" xfId="5" applyNumberFormat="1" applyFont="1" applyFill="1" applyBorder="1" applyAlignment="1" applyProtection="1">
      <alignment horizontal="center" vertical="center" wrapText="1"/>
    </xf>
    <xf numFmtId="0" fontId="12" fillId="4" borderId="22" xfId="5" applyNumberFormat="1" applyFont="1" applyFill="1" applyBorder="1" applyAlignment="1" applyProtection="1">
      <alignment horizontal="center" vertical="center" wrapText="1"/>
    </xf>
    <xf numFmtId="0" fontId="12" fillId="4" borderId="13" xfId="5" applyNumberFormat="1" applyFont="1" applyFill="1" applyBorder="1" applyAlignment="1" applyProtection="1">
      <alignment horizontal="center" vertical="center" wrapText="1"/>
    </xf>
    <xf numFmtId="0" fontId="12" fillId="4" borderId="29" xfId="5" applyFont="1" applyFill="1" applyBorder="1" applyAlignment="1">
      <alignment horizontal="center" vertical="center" wrapText="1"/>
    </xf>
    <xf numFmtId="0" fontId="12" fillId="4" borderId="35" xfId="5" applyFont="1" applyFill="1" applyBorder="1" applyAlignment="1">
      <alignment horizontal="center" vertical="center" wrapText="1"/>
    </xf>
    <xf numFmtId="165" fontId="12" fillId="4" borderId="30" xfId="7" applyNumberFormat="1" applyFont="1" applyFill="1" applyBorder="1" applyAlignment="1" applyProtection="1">
      <alignment horizontal="center" vertical="center" wrapText="1"/>
    </xf>
    <xf numFmtId="165" fontId="12" fillId="4" borderId="31" xfId="7" applyNumberFormat="1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>
      <alignment horizontal="left" vertical="center" wrapText="1"/>
    </xf>
    <xf numFmtId="165" fontId="12" fillId="4" borderId="43" xfId="7" applyNumberFormat="1" applyFont="1" applyFill="1" applyBorder="1" applyAlignment="1" applyProtection="1">
      <alignment horizontal="center" vertical="center" wrapText="1"/>
    </xf>
    <xf numFmtId="165" fontId="12" fillId="4" borderId="44" xfId="7" applyNumberFormat="1" applyFont="1" applyFill="1" applyBorder="1" applyAlignment="1" applyProtection="1">
      <alignment horizontal="center" vertical="center" wrapText="1"/>
    </xf>
    <xf numFmtId="0" fontId="12" fillId="2" borderId="33" xfId="5" applyFont="1" applyFill="1" applyBorder="1" applyAlignment="1">
      <alignment horizontal="center" vertical="center" wrapText="1"/>
    </xf>
    <xf numFmtId="0" fontId="12" fillId="2" borderId="38" xfId="5" applyFont="1" applyFill="1" applyBorder="1" applyAlignment="1">
      <alignment horizontal="center" vertical="center" wrapText="1"/>
    </xf>
    <xf numFmtId="0" fontId="32" fillId="2" borderId="33" xfId="5" applyFont="1" applyFill="1" applyBorder="1" applyAlignment="1">
      <alignment horizontal="center" vertical="center" wrapText="1"/>
    </xf>
    <xf numFmtId="0" fontId="32" fillId="2" borderId="38" xfId="5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170" fontId="1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0" fillId="0" borderId="13" xfId="1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11" applyFont="1" applyBorder="1" applyAlignment="1">
      <alignment horizontal="center" wrapText="1"/>
    </xf>
    <xf numFmtId="0" fontId="0" fillId="0" borderId="29" xfId="1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13" xfId="11" applyFont="1" applyFill="1" applyBorder="1" applyAlignment="1"/>
    <xf numFmtId="4" fontId="1" fillId="0" borderId="13" xfId="11" applyNumberFormat="1" applyFill="1" applyBorder="1" applyAlignment="1"/>
    <xf numFmtId="0" fontId="0" fillId="0" borderId="13" xfId="0" applyFill="1" applyBorder="1" applyAlignment="1"/>
    <xf numFmtId="4" fontId="14" fillId="0" borderId="13" xfId="11" applyNumberFormat="1" applyFont="1" applyFill="1" applyBorder="1" applyAlignment="1"/>
    <xf numFmtId="174" fontId="1" fillId="0" borderId="0" xfId="0" applyNumberFormat="1" applyFont="1" applyFill="1"/>
  </cellXfs>
  <cellStyles count="14">
    <cellStyle name="Hypertextový odkaz" xfId="13" builtinId="8"/>
    <cellStyle name="Normální" xfId="0" builtinId="0"/>
    <cellStyle name="Normální 10" xfId="6"/>
    <cellStyle name="Normální 11 2" xfId="2"/>
    <cellStyle name="normální 14 2 2" xfId="3"/>
    <cellStyle name="Normální 18" xfId="12"/>
    <cellStyle name="Normální 2" xfId="10"/>
    <cellStyle name="normální 2 2 3" xfId="8"/>
    <cellStyle name="normální 2 5" xfId="5"/>
    <cellStyle name="Normální 3 3" xfId="11"/>
    <cellStyle name="Normální 5" xfId="9"/>
    <cellStyle name="procent 2" xfId="7"/>
    <cellStyle name="Procenta" xfId="1" builtinId="5"/>
    <cellStyle name="Procenta 3 2" xfId="4"/>
  </cellStyles>
  <dxfs count="0"/>
  <tableStyles count="0" defaultTableStyle="TableStyleMedium2" defaultPivotStyle="PivotStyleLight16"/>
  <colors>
    <mruColors>
      <color rgb="FFFFFF66"/>
      <color rgb="FFA9D08E"/>
      <color rgb="FFF4B084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ysea/PEC/jcu_ww_ro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a%20Krop&#225;&#269;kov&#225;/Documents/PATRIOT/Rozpo&#269;et%202018/P&#345;&#237;prava%202018/Rozpadov&#225;%20metoda%202018/JU_alokace%20n&#225;klad&#367;%20RaAK_2018%20rozpad_rozpo&#269;et_pracov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KLEN"/>
      <sheetName val="DATA"/>
      <sheetName val="STAVY"/>
      <sheetName val="Report"/>
      <sheetName val="DOC"/>
      <sheetName val="DCD"/>
      <sheetName val="CFG"/>
      <sheetName val="SEL Ora"/>
      <sheetName val="Zdroj"/>
      <sheetName val="Zdroj (2)"/>
      <sheetName val="SEL 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plochy 2017"/>
      <sheetName val="OsN R a AK 2017"/>
      <sheetName val="odpisy 2017"/>
      <sheetName val="ostatní náklady 2017"/>
      <sheetName val="úvazky VaV_granty_EGJE 2016"/>
      <sheetName val="úvazky VaV_granty_EGJE 2017"/>
      <sheetName val="PEPP 2016 R a AK"/>
      <sheetName val="plochy 2018"/>
      <sheetName val="PEPP 2017 kmen R a AK"/>
      <sheetName val="PEPP 2017 zakázky R a AK"/>
      <sheetName val="fyzické počty R a AK 2017"/>
      <sheetName val="OsN R a AK 2018"/>
      <sheetName val="ostatní náklady 2018_úprava"/>
      <sheetName val="odpisy 2018"/>
      <sheetName val="alokac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8">
          <cell r="E188">
            <v>55680000</v>
          </cell>
        </row>
      </sheetData>
      <sheetData sheetId="14">
        <row r="33">
          <cell r="D33">
            <v>2250</v>
          </cell>
        </row>
        <row r="63">
          <cell r="D63">
            <v>650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smt.cz/vzdelavani/vysoke-skolstvi/pravidla-pro-poskytovani-prispevku-a-dotaci-verejnym-vysokym-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workbookViewId="0">
      <selection activeCell="B7" sqref="B7"/>
    </sheetView>
  </sheetViews>
  <sheetFormatPr defaultRowHeight="15" x14ac:dyDescent="0.25"/>
  <cols>
    <col min="1" max="1" width="31.140625" customWidth="1"/>
    <col min="2" max="2" width="104.85546875" style="333" customWidth="1"/>
  </cols>
  <sheetData>
    <row r="1" spans="1:2" s="171" customFormat="1" x14ac:dyDescent="0.25">
      <c r="A1" s="347" t="s">
        <v>117</v>
      </c>
      <c r="B1" s="348" t="s">
        <v>411</v>
      </c>
    </row>
    <row r="2" spans="1:2" x14ac:dyDescent="0.25">
      <c r="A2" s="349"/>
      <c r="B2" s="350"/>
    </row>
    <row r="3" spans="1:2" ht="30" x14ac:dyDescent="0.25">
      <c r="A3" s="351" t="s">
        <v>423</v>
      </c>
      <c r="B3" s="350" t="s">
        <v>424</v>
      </c>
    </row>
    <row r="4" spans="1:2" ht="30" x14ac:dyDescent="0.25">
      <c r="A4" s="351" t="s">
        <v>118</v>
      </c>
      <c r="B4" s="350" t="s">
        <v>425</v>
      </c>
    </row>
    <row r="5" spans="1:2" ht="30" x14ac:dyDescent="0.25">
      <c r="A5" s="351" t="s">
        <v>120</v>
      </c>
      <c r="B5" s="350" t="s">
        <v>427</v>
      </c>
    </row>
    <row r="6" spans="1:2" ht="30" x14ac:dyDescent="0.25">
      <c r="A6" s="352" t="s">
        <v>119</v>
      </c>
      <c r="B6" s="350" t="s">
        <v>428</v>
      </c>
    </row>
    <row r="7" spans="1:2" x14ac:dyDescent="0.25">
      <c r="A7" s="353" t="s">
        <v>121</v>
      </c>
      <c r="B7" s="350" t="s">
        <v>401</v>
      </c>
    </row>
    <row r="8" spans="1:2" ht="30" x14ac:dyDescent="0.25">
      <c r="A8" s="351" t="s">
        <v>122</v>
      </c>
      <c r="B8" s="350" t="s">
        <v>402</v>
      </c>
    </row>
    <row r="9" spans="1:2" ht="30" x14ac:dyDescent="0.25">
      <c r="A9" s="354" t="s">
        <v>292</v>
      </c>
      <c r="B9" s="350" t="s">
        <v>403</v>
      </c>
    </row>
    <row r="10" spans="1:2" x14ac:dyDescent="0.25">
      <c r="A10" s="354" t="s">
        <v>395</v>
      </c>
      <c r="B10" s="350" t="s">
        <v>404</v>
      </c>
    </row>
    <row r="11" spans="1:2" ht="30" x14ac:dyDescent="0.25">
      <c r="A11" s="351" t="s">
        <v>409</v>
      </c>
      <c r="B11" s="350" t="s">
        <v>410</v>
      </c>
    </row>
  </sheetData>
  <hyperlinks>
    <hyperlink ref="A4" location="'1.2 Objemy A JU'!A1" display="1.2 Objemy A JU"/>
    <hyperlink ref="A5" location="'1.3 Objemy K JU'!A1" display="1.3 Objemy K JU"/>
    <hyperlink ref="A6" location="'1 Objemy A+K JU'!A1" display="1 Objemy A+K JU"/>
    <hyperlink ref="A7" location="'2 Dotace na RVO 2018'!A1" display="2 Dotace na RVO 2018"/>
    <hyperlink ref="A8" location="'3 Rekapituace'!A1" display="3 Rekapituace"/>
    <hyperlink ref="A9" location="'4 Návrh R a AK 2018'!A1" display="4 Návrh R a AK 2018"/>
    <hyperlink ref="A10" location="'5 Alokace R a AK 2018'!A1" display="5 Alokace R a AK 2018"/>
    <hyperlink ref="A11" location="'6 Rekapitulace 2018 s alokací'!A1" display="6 Rekapitulace 2018 s alokací"/>
    <hyperlink ref="A3" location="'1.1 K - JU'!A1" display="1.1 K - JU"/>
  </hyperlinks>
  <pageMargins left="0.7" right="0.7" top="0.78740157499999996" bottom="0.78740157499999996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/>
  </sheetViews>
  <sheetFormatPr defaultColWidth="9.140625" defaultRowHeight="15" x14ac:dyDescent="0.25"/>
  <cols>
    <col min="1" max="1" width="32" style="359" customWidth="1"/>
    <col min="2" max="5" width="21" style="359" customWidth="1"/>
    <col min="6" max="6" width="21.7109375" style="359" customWidth="1"/>
    <col min="7" max="7" width="14.85546875" style="359" customWidth="1"/>
    <col min="8" max="8" width="21.7109375" style="359" customWidth="1"/>
    <col min="9" max="16384" width="9.140625" style="359"/>
  </cols>
  <sheetData>
    <row r="1" spans="1:8" s="376" customFormat="1" ht="15.75" x14ac:dyDescent="0.25">
      <c r="A1" s="375" t="s">
        <v>410</v>
      </c>
    </row>
    <row r="2" spans="1:8" x14ac:dyDescent="0.25">
      <c r="A2" s="355"/>
    </row>
    <row r="3" spans="1:8" ht="15.75" thickBot="1" x14ac:dyDescent="0.3"/>
    <row r="4" spans="1:8" s="360" customFormat="1" ht="90.75" thickBot="1" x14ac:dyDescent="0.3">
      <c r="A4" s="479" t="s">
        <v>405</v>
      </c>
      <c r="B4" s="480" t="s">
        <v>104</v>
      </c>
      <c r="C4" s="481" t="s">
        <v>100</v>
      </c>
      <c r="D4" s="480" t="s">
        <v>406</v>
      </c>
      <c r="E4" s="480" t="s">
        <v>413</v>
      </c>
      <c r="F4" s="482" t="s">
        <v>412</v>
      </c>
      <c r="G4" s="482" t="s">
        <v>419</v>
      </c>
      <c r="H4" s="480" t="s">
        <v>429</v>
      </c>
    </row>
    <row r="5" spans="1:8" x14ac:dyDescent="0.25">
      <c r="A5" s="371" t="s">
        <v>55</v>
      </c>
      <c r="B5" s="361">
        <v>64133638</v>
      </c>
      <c r="C5" s="361">
        <v>8852844</v>
      </c>
      <c r="D5" s="361">
        <v>8443007</v>
      </c>
      <c r="E5" s="486">
        <f>B5+C5-D5</f>
        <v>64543475</v>
      </c>
      <c r="F5" s="362">
        <v>58510236</v>
      </c>
      <c r="G5" s="362">
        <f>E5-F5</f>
        <v>6033239</v>
      </c>
      <c r="H5" s="362">
        <f>E5</f>
        <v>64543475</v>
      </c>
    </row>
    <row r="6" spans="1:8" x14ac:dyDescent="0.25">
      <c r="A6" s="372" t="s">
        <v>54</v>
      </c>
      <c r="B6" s="363">
        <v>40266178</v>
      </c>
      <c r="C6" s="363">
        <v>18171550</v>
      </c>
      <c r="D6" s="363">
        <v>6796296</v>
      </c>
      <c r="E6" s="487">
        <f t="shared" ref="E6:E12" si="0">B6+C6-D6</f>
        <v>51641432</v>
      </c>
      <c r="F6" s="364">
        <v>42431894</v>
      </c>
      <c r="G6" s="364">
        <f t="shared" ref="G6:G12" si="1">E6-F6</f>
        <v>9209538</v>
      </c>
      <c r="H6" s="364">
        <f>E6-G22</f>
        <v>51391432</v>
      </c>
    </row>
    <row r="7" spans="1:8" x14ac:dyDescent="0.25">
      <c r="A7" s="372" t="s">
        <v>56</v>
      </c>
      <c r="B7" s="363">
        <v>34845081</v>
      </c>
      <c r="C7" s="363">
        <v>51821464</v>
      </c>
      <c r="D7" s="363">
        <v>10004331</v>
      </c>
      <c r="E7" s="487">
        <f t="shared" si="0"/>
        <v>76662214</v>
      </c>
      <c r="F7" s="364">
        <v>61601366</v>
      </c>
      <c r="G7" s="364">
        <f t="shared" si="1"/>
        <v>15060848</v>
      </c>
      <c r="H7" s="364">
        <f>E7-G23</f>
        <v>75587214</v>
      </c>
    </row>
    <row r="8" spans="1:8" x14ac:dyDescent="0.25">
      <c r="A8" s="372" t="s">
        <v>57</v>
      </c>
      <c r="B8" s="363">
        <v>111057956</v>
      </c>
      <c r="C8" s="363">
        <v>11586620</v>
      </c>
      <c r="D8" s="363">
        <v>14000591</v>
      </c>
      <c r="E8" s="487">
        <f t="shared" si="0"/>
        <v>108643985</v>
      </c>
      <c r="F8" s="364">
        <v>104564077</v>
      </c>
      <c r="G8" s="364">
        <f t="shared" si="1"/>
        <v>4079908</v>
      </c>
      <c r="H8" s="364">
        <f>E8</f>
        <v>108643985</v>
      </c>
    </row>
    <row r="9" spans="1:8" x14ac:dyDescent="0.25">
      <c r="A9" s="372" t="s">
        <v>58</v>
      </c>
      <c r="B9" s="363">
        <v>101897204</v>
      </c>
      <c r="C9" s="363">
        <v>92992436</v>
      </c>
      <c r="D9" s="363">
        <v>23485850</v>
      </c>
      <c r="E9" s="487">
        <f t="shared" si="0"/>
        <v>171403790</v>
      </c>
      <c r="F9" s="364">
        <v>137836555</v>
      </c>
      <c r="G9" s="364">
        <f t="shared" si="1"/>
        <v>33567235</v>
      </c>
      <c r="H9" s="364">
        <f>E9-G24</f>
        <v>170228790</v>
      </c>
    </row>
    <row r="10" spans="1:8" x14ac:dyDescent="0.25">
      <c r="A10" s="372" t="s">
        <v>59</v>
      </c>
      <c r="B10" s="363">
        <v>28405865</v>
      </c>
      <c r="C10" s="363">
        <v>10667823</v>
      </c>
      <c r="D10" s="363">
        <v>4437790</v>
      </c>
      <c r="E10" s="487">
        <f t="shared" si="0"/>
        <v>34635898</v>
      </c>
      <c r="F10" s="364">
        <v>30497329</v>
      </c>
      <c r="G10" s="364">
        <f t="shared" si="1"/>
        <v>4138569</v>
      </c>
      <c r="H10" s="364">
        <f>E10</f>
        <v>34635898</v>
      </c>
    </row>
    <row r="11" spans="1:8" x14ac:dyDescent="0.25">
      <c r="A11" s="372" t="s">
        <v>60</v>
      </c>
      <c r="B11" s="363">
        <v>109360257</v>
      </c>
      <c r="C11" s="363">
        <v>6423662</v>
      </c>
      <c r="D11" s="363">
        <v>11794111</v>
      </c>
      <c r="E11" s="487">
        <f t="shared" si="0"/>
        <v>103989808</v>
      </c>
      <c r="F11" s="364">
        <v>102914970</v>
      </c>
      <c r="G11" s="364">
        <f t="shared" si="1"/>
        <v>1074838</v>
      </c>
      <c r="H11" s="364">
        <f>E11</f>
        <v>103989808</v>
      </c>
    </row>
    <row r="12" spans="1:8" ht="15.75" thickBot="1" x14ac:dyDescent="0.3">
      <c r="A12" s="373" t="s">
        <v>61</v>
      </c>
      <c r="B12" s="365">
        <v>69787412</v>
      </c>
      <c r="C12" s="365">
        <v>21597839</v>
      </c>
      <c r="D12" s="365">
        <v>10522729</v>
      </c>
      <c r="E12" s="488">
        <f t="shared" si="0"/>
        <v>80862522</v>
      </c>
      <c r="F12" s="366">
        <v>78157587</v>
      </c>
      <c r="G12" s="366">
        <f t="shared" si="1"/>
        <v>2704935</v>
      </c>
      <c r="H12" s="366">
        <f>E12</f>
        <v>80862522</v>
      </c>
    </row>
    <row r="13" spans="1:8" ht="15.75" thickBot="1" x14ac:dyDescent="0.3">
      <c r="A13" s="483" t="s">
        <v>102</v>
      </c>
      <c r="B13" s="484">
        <f t="shared" ref="B13:G13" si="2">SUM(B5:B12)</f>
        <v>559753591</v>
      </c>
      <c r="C13" s="484">
        <f t="shared" si="2"/>
        <v>222114238</v>
      </c>
      <c r="D13" s="484">
        <f t="shared" si="2"/>
        <v>89484705</v>
      </c>
      <c r="E13" s="484">
        <f t="shared" si="2"/>
        <v>692383124</v>
      </c>
      <c r="F13" s="485">
        <f t="shared" si="2"/>
        <v>616514014</v>
      </c>
      <c r="G13" s="485">
        <f t="shared" si="2"/>
        <v>75869110</v>
      </c>
      <c r="H13" s="485">
        <f t="shared" ref="H13" si="3">SUM(H5:H12)</f>
        <v>689883124</v>
      </c>
    </row>
    <row r="14" spans="1:8" x14ac:dyDescent="0.25">
      <c r="A14" s="374" t="s">
        <v>407</v>
      </c>
      <c r="B14" s="367" t="s">
        <v>82</v>
      </c>
      <c r="C14" s="368">
        <v>4532944</v>
      </c>
      <c r="D14" s="367" t="s">
        <v>82</v>
      </c>
      <c r="E14" s="489">
        <v>4532944</v>
      </c>
      <c r="F14" s="368">
        <v>4076969</v>
      </c>
      <c r="G14" s="431">
        <f>E14-F14</f>
        <v>455975</v>
      </c>
      <c r="H14" s="368">
        <f>E14</f>
        <v>4532944</v>
      </c>
    </row>
    <row r="15" spans="1:8" ht="15.75" thickBot="1" x14ac:dyDescent="0.3">
      <c r="A15" s="373" t="s">
        <v>408</v>
      </c>
      <c r="B15" s="369"/>
      <c r="C15" s="369" t="s">
        <v>82</v>
      </c>
      <c r="D15" s="365">
        <v>1442295</v>
      </c>
      <c r="E15" s="490" t="s">
        <v>82</v>
      </c>
      <c r="F15" s="365"/>
      <c r="G15" s="370"/>
      <c r="H15" s="365"/>
    </row>
    <row r="16" spans="1:8" ht="15.75" thickBot="1" x14ac:dyDescent="0.3">
      <c r="A16" s="377" t="s">
        <v>287</v>
      </c>
      <c r="B16" s="356">
        <f>B13</f>
        <v>559753591</v>
      </c>
      <c r="C16" s="356">
        <f>C14+C13</f>
        <v>226647182</v>
      </c>
      <c r="D16" s="356">
        <f>D15+D13</f>
        <v>90927000</v>
      </c>
      <c r="E16" s="491">
        <f>SUM(E13:E14)</f>
        <v>696916068</v>
      </c>
      <c r="F16" s="356">
        <f>SUM(F13:F15)</f>
        <v>620590983</v>
      </c>
      <c r="G16" s="357">
        <f>E16-F16</f>
        <v>76325085</v>
      </c>
      <c r="H16" s="356">
        <f>SUM(H13:H15)</f>
        <v>694416068</v>
      </c>
    </row>
    <row r="17" spans="1:8" x14ac:dyDescent="0.25">
      <c r="A17" s="378"/>
      <c r="E17" s="261"/>
      <c r="F17" s="430"/>
    </row>
    <row r="18" spans="1:8" x14ac:dyDescent="0.25">
      <c r="E18" s="261"/>
    </row>
    <row r="19" spans="1:8" x14ac:dyDescent="0.25">
      <c r="A19" s="432" t="s">
        <v>421</v>
      </c>
      <c r="E19" s="261"/>
      <c r="H19" s="434">
        <v>2500000</v>
      </c>
    </row>
    <row r="20" spans="1:8" x14ac:dyDescent="0.25">
      <c r="G20" s="433"/>
    </row>
    <row r="21" spans="1:8" x14ac:dyDescent="0.25">
      <c r="A21" s="359" t="s">
        <v>422</v>
      </c>
      <c r="G21" s="433"/>
    </row>
    <row r="22" spans="1:8" x14ac:dyDescent="0.25">
      <c r="F22" s="438" t="s">
        <v>46</v>
      </c>
      <c r="G22" s="439">
        <f>H19*0.1</f>
        <v>250000</v>
      </c>
      <c r="H22" s="440">
        <v>0.1</v>
      </c>
    </row>
    <row r="23" spans="1:8" x14ac:dyDescent="0.25">
      <c r="F23" s="441" t="s">
        <v>47</v>
      </c>
      <c r="G23" s="430">
        <f>H19*0.43</f>
        <v>1075000</v>
      </c>
      <c r="H23" s="442">
        <v>0.43</v>
      </c>
    </row>
    <row r="24" spans="1:8" x14ac:dyDescent="0.25">
      <c r="F24" s="441" t="s">
        <v>49</v>
      </c>
      <c r="G24" s="430">
        <f>H19*0.47</f>
        <v>1175000</v>
      </c>
      <c r="H24" s="442">
        <v>0.47</v>
      </c>
    </row>
    <row r="25" spans="1:8" x14ac:dyDescent="0.25">
      <c r="F25" s="443" t="s">
        <v>287</v>
      </c>
      <c r="G25" s="444">
        <f>SUM(G22:G24)</f>
        <v>2500000</v>
      </c>
      <c r="H25" s="445">
        <f>SUM(H22:H24)</f>
        <v>1</v>
      </c>
    </row>
  </sheetData>
  <pageMargins left="0.7" right="0.7" top="0.78740157499999996" bottom="0.78740157499999996" header="0.3" footer="0.3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workbookViewId="0"/>
  </sheetViews>
  <sheetFormatPr defaultColWidth="9.140625" defaultRowHeight="15" x14ac:dyDescent="0.25"/>
  <cols>
    <col min="1" max="1" width="9.28515625" style="174" bestFit="1" customWidth="1"/>
    <col min="2" max="2" width="12.42578125" style="174" customWidth="1"/>
    <col min="3" max="3" width="9.28515625" style="174" bestFit="1" customWidth="1"/>
    <col min="4" max="4" width="13" style="174" bestFit="1" customWidth="1"/>
    <col min="5" max="7" width="9.28515625" style="174" bestFit="1" customWidth="1"/>
    <col min="8" max="8" width="13.7109375" style="174" bestFit="1" customWidth="1"/>
    <col min="9" max="9" width="9.28515625" style="174" bestFit="1" customWidth="1"/>
    <col min="10" max="10" width="13" style="174" bestFit="1" customWidth="1"/>
    <col min="11" max="11" width="9.28515625" style="174" bestFit="1" customWidth="1"/>
    <col min="12" max="12" width="13.7109375" style="174" bestFit="1" customWidth="1"/>
    <col min="13" max="14" width="9.28515625" style="174" bestFit="1" customWidth="1"/>
    <col min="15" max="15" width="14.7109375" style="174" bestFit="1" customWidth="1"/>
    <col min="16" max="16" width="13" style="174" bestFit="1" customWidth="1"/>
    <col min="17" max="18" width="9.28515625" style="174" bestFit="1" customWidth="1"/>
    <col min="19" max="20" width="11.42578125" style="174" customWidth="1"/>
    <col min="21" max="22" width="9.140625" style="174"/>
    <col min="23" max="23" width="12.42578125" style="174" customWidth="1"/>
    <col min="24" max="24" width="9.140625" style="174"/>
    <col min="25" max="25" width="12.85546875" style="174" bestFit="1" customWidth="1"/>
    <col min="26" max="28" width="9.140625" style="174"/>
    <col min="29" max="29" width="13.5703125" style="174" bestFit="1" customWidth="1"/>
    <col min="30" max="30" width="9.140625" style="174"/>
    <col min="31" max="31" width="12.85546875" style="174" bestFit="1" customWidth="1"/>
    <col min="32" max="32" width="9.140625" style="174"/>
    <col min="33" max="33" width="13.5703125" style="174" bestFit="1" customWidth="1"/>
    <col min="34" max="36" width="9.140625" style="174"/>
    <col min="37" max="37" width="12.85546875" style="174" bestFit="1" customWidth="1"/>
    <col min="38" max="39" width="9.140625" style="174"/>
    <col min="40" max="41" width="11.42578125" style="174" customWidth="1"/>
    <col min="42" max="16384" width="9.140625" style="174"/>
  </cols>
  <sheetData>
    <row r="1" spans="1:41" s="5" customFormat="1" ht="15.75" x14ac:dyDescent="0.25">
      <c r="A1" s="172" t="s">
        <v>424</v>
      </c>
      <c r="B1" s="173"/>
      <c r="C1" s="173"/>
      <c r="D1" s="173"/>
      <c r="E1" s="6"/>
      <c r="F1" s="6"/>
      <c r="G1" s="6"/>
      <c r="H1" s="6"/>
      <c r="I1" s="6"/>
      <c r="J1" s="6"/>
      <c r="K1" s="173"/>
      <c r="L1" s="173"/>
      <c r="M1" s="173"/>
      <c r="N1" s="173"/>
      <c r="O1" s="6"/>
      <c r="P1" s="6"/>
      <c r="Q1" s="6"/>
      <c r="R1" s="6"/>
      <c r="S1" s="173"/>
      <c r="T1" s="173"/>
    </row>
    <row r="2" spans="1:41" s="261" customFormat="1" x14ac:dyDescent="0.25">
      <c r="A2" s="260" t="s">
        <v>396</v>
      </c>
      <c r="B2" s="183"/>
      <c r="C2" s="183"/>
      <c r="D2" s="183"/>
      <c r="E2" s="182"/>
      <c r="F2" s="182"/>
      <c r="G2" s="182"/>
      <c r="H2" s="182"/>
      <c r="I2" s="182"/>
      <c r="J2" s="182"/>
      <c r="K2" s="262" t="s">
        <v>397</v>
      </c>
      <c r="M2" s="183"/>
      <c r="N2" s="183"/>
      <c r="O2" s="182"/>
      <c r="P2" s="182"/>
      <c r="Q2" s="182"/>
      <c r="R2" s="182"/>
      <c r="S2" s="183"/>
      <c r="T2" s="183"/>
    </row>
    <row r="3" spans="1:41" ht="13.5" customHeight="1" thickBot="1" x14ac:dyDescent="0.3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41" ht="40.5" customHeight="1" x14ac:dyDescent="0.25">
      <c r="A4" s="508"/>
      <c r="B4" s="509"/>
      <c r="C4" s="500" t="s">
        <v>2</v>
      </c>
      <c r="D4" s="512"/>
      <c r="E4" s="514" t="s">
        <v>3</v>
      </c>
      <c r="F4" s="515"/>
      <c r="G4" s="515"/>
      <c r="H4" s="515"/>
      <c r="I4" s="496" t="s">
        <v>4</v>
      </c>
      <c r="J4" s="497"/>
      <c r="K4" s="500" t="s">
        <v>5</v>
      </c>
      <c r="L4" s="501"/>
      <c r="M4" s="496" t="s">
        <v>6</v>
      </c>
      <c r="N4" s="497"/>
      <c r="O4" s="500" t="s">
        <v>41</v>
      </c>
      <c r="P4" s="501"/>
      <c r="Q4" s="517" t="s">
        <v>7</v>
      </c>
      <c r="R4" s="518"/>
      <c r="S4" s="519" t="s">
        <v>8</v>
      </c>
      <c r="T4" s="521" t="s">
        <v>9</v>
      </c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</row>
    <row r="5" spans="1:41" ht="23.25" customHeight="1" thickBot="1" x14ac:dyDescent="0.3">
      <c r="A5" s="510"/>
      <c r="B5" s="511"/>
      <c r="C5" s="502"/>
      <c r="D5" s="513"/>
      <c r="E5" s="185" t="s">
        <v>10</v>
      </c>
      <c r="F5" s="186" t="s">
        <v>11</v>
      </c>
      <c r="G5" s="186" t="s">
        <v>12</v>
      </c>
      <c r="H5" s="186" t="s">
        <v>12</v>
      </c>
      <c r="I5" s="498"/>
      <c r="J5" s="499"/>
      <c r="K5" s="502"/>
      <c r="L5" s="503"/>
      <c r="M5" s="498"/>
      <c r="N5" s="499"/>
      <c r="O5" s="502"/>
      <c r="P5" s="503"/>
      <c r="Q5" s="187" t="s">
        <v>13</v>
      </c>
      <c r="R5" s="188" t="s">
        <v>12</v>
      </c>
      <c r="S5" s="520"/>
      <c r="T5" s="522"/>
      <c r="V5" s="184"/>
      <c r="W5" s="184"/>
      <c r="X5" s="184"/>
      <c r="Y5" s="184"/>
      <c r="Z5" s="189"/>
      <c r="AA5" s="189"/>
      <c r="AB5" s="189"/>
      <c r="AC5" s="189"/>
      <c r="AD5" s="184"/>
      <c r="AE5" s="184"/>
      <c r="AF5" s="184"/>
      <c r="AG5" s="184"/>
      <c r="AH5" s="184"/>
      <c r="AI5" s="184"/>
      <c r="AJ5" s="184"/>
      <c r="AK5" s="184"/>
      <c r="AL5" s="189"/>
      <c r="AM5" s="189"/>
      <c r="AN5" s="184"/>
      <c r="AO5" s="184"/>
    </row>
    <row r="6" spans="1:41" ht="15.75" thickBot="1" x14ac:dyDescent="0.3">
      <c r="A6" s="504" t="s">
        <v>14</v>
      </c>
      <c r="B6" s="505"/>
      <c r="C6" s="175"/>
      <c r="D6" s="190">
        <v>0.15</v>
      </c>
      <c r="E6" s="191"/>
      <c r="F6" s="192"/>
      <c r="G6" s="192"/>
      <c r="H6" s="190">
        <v>0.22</v>
      </c>
      <c r="I6" s="193"/>
      <c r="J6" s="194">
        <v>0.1</v>
      </c>
      <c r="K6" s="175"/>
      <c r="L6" s="195">
        <v>0.3</v>
      </c>
      <c r="M6" s="175"/>
      <c r="N6" s="195">
        <v>0.03</v>
      </c>
      <c r="O6" s="175"/>
      <c r="P6" s="195">
        <v>0.1</v>
      </c>
      <c r="Q6" s="196"/>
      <c r="R6" s="195">
        <v>0.1</v>
      </c>
      <c r="S6" s="197">
        <f>SUM(C6:R6)</f>
        <v>1</v>
      </c>
      <c r="T6" s="198"/>
      <c r="V6" s="184"/>
      <c r="W6" s="184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</row>
    <row r="7" spans="1:41" x14ac:dyDescent="0.25">
      <c r="A7" s="506" t="s">
        <v>86</v>
      </c>
      <c r="B7" s="507"/>
      <c r="C7" s="1"/>
      <c r="D7" s="199">
        <f>SUM(D8:D17)</f>
        <v>1.0000000000000002</v>
      </c>
      <c r="E7" s="200"/>
      <c r="F7" s="199"/>
      <c r="G7" s="199"/>
      <c r="H7" s="199">
        <f>SUM(H8:H17)</f>
        <v>1</v>
      </c>
      <c r="I7" s="201"/>
      <c r="J7" s="202">
        <f>SUM(J8:J17)</f>
        <v>1</v>
      </c>
      <c r="K7" s="176"/>
      <c r="L7" s="202">
        <f>SUM(L8:L17)</f>
        <v>1</v>
      </c>
      <c r="M7" s="177"/>
      <c r="N7" s="203">
        <f>SUM(N8:N17)</f>
        <v>1</v>
      </c>
      <c r="O7" s="176"/>
      <c r="P7" s="202">
        <f>SUM(P8:P17)</f>
        <v>0.99999999999999978</v>
      </c>
      <c r="Q7" s="204"/>
      <c r="R7" s="202">
        <f>SUM(R8:R17)</f>
        <v>1</v>
      </c>
      <c r="S7" s="205">
        <f>SUM(S8:S17)</f>
        <v>1</v>
      </c>
      <c r="T7" s="205" t="e">
        <f>SUM(T8:T17)</f>
        <v>#REF!</v>
      </c>
      <c r="V7" s="184"/>
      <c r="W7" s="184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</row>
    <row r="8" spans="1:41" x14ac:dyDescent="0.25">
      <c r="A8" s="256"/>
      <c r="B8" s="257"/>
      <c r="C8" s="254"/>
      <c r="D8" s="207"/>
      <c r="E8" s="208"/>
      <c r="F8" s="207"/>
      <c r="G8" s="207"/>
      <c r="H8" s="207"/>
      <c r="I8" s="209"/>
      <c r="J8" s="210"/>
      <c r="K8" s="206"/>
      <c r="L8" s="210"/>
      <c r="M8" s="211"/>
      <c r="N8" s="210"/>
      <c r="O8" s="208"/>
      <c r="P8" s="210"/>
      <c r="Q8" s="178"/>
      <c r="R8" s="210"/>
      <c r="S8" s="212"/>
      <c r="T8" s="212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</row>
    <row r="9" spans="1:41" x14ac:dyDescent="0.25">
      <c r="A9" s="258" t="s">
        <v>45</v>
      </c>
      <c r="B9" s="259"/>
      <c r="C9" s="254"/>
      <c r="D9" s="207">
        <f t="shared" ref="D9:D16" si="0">D21</f>
        <v>0.15025221218990814</v>
      </c>
      <c r="E9" s="208"/>
      <c r="F9" s="207"/>
      <c r="G9" s="207"/>
      <c r="H9" s="207">
        <f t="shared" ref="H9:H16" si="1">0.5*H21+0.3*H33+0.2*H45</f>
        <v>0.32474264857196833</v>
      </c>
      <c r="I9" s="209"/>
      <c r="J9" s="210">
        <f t="shared" ref="J9:J16" si="2">J21</f>
        <v>9.542299314002739E-2</v>
      </c>
      <c r="K9" s="206"/>
      <c r="L9" s="210">
        <f t="shared" ref="L9:L16" si="3">L33</f>
        <v>4.1753026748513E-2</v>
      </c>
      <c r="M9" s="211"/>
      <c r="N9" s="210">
        <f t="shared" ref="N9:N16" si="4">N21</f>
        <v>0</v>
      </c>
      <c r="O9" s="208"/>
      <c r="P9" s="210">
        <f t="shared" ref="P9:P16" si="5">0.5*P33+0.3*P45+0.2*P57</f>
        <v>1.9028850400464599E-2</v>
      </c>
      <c r="Q9" s="178"/>
      <c r="R9" s="210">
        <f t="shared" ref="R9:R16" si="6">0.5*R21+0.3*R33+0.2*R45</f>
        <v>6.1754884966133738E-2</v>
      </c>
      <c r="S9" s="212">
        <f t="shared" ref="S9:S16" si="7">SUMPRODUCT(C$6:R$6,C9:R9)</f>
        <v>0.12412779538953572</v>
      </c>
      <c r="T9" s="212" t="e">
        <f>S9*#REF!</f>
        <v>#REF!</v>
      </c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</row>
    <row r="10" spans="1:41" x14ac:dyDescent="0.25">
      <c r="A10" s="258" t="s">
        <v>46</v>
      </c>
      <c r="B10" s="259"/>
      <c r="C10" s="254"/>
      <c r="D10" s="207">
        <f t="shared" si="0"/>
        <v>6.3762808124237361E-2</v>
      </c>
      <c r="E10" s="208"/>
      <c r="F10" s="207"/>
      <c r="G10" s="207"/>
      <c r="H10" s="207">
        <f t="shared" si="1"/>
        <v>0.19866264654340002</v>
      </c>
      <c r="I10" s="209"/>
      <c r="J10" s="210">
        <f t="shared" si="2"/>
        <v>5.1391256075207468E-2</v>
      </c>
      <c r="K10" s="206"/>
      <c r="L10" s="210">
        <f t="shared" si="3"/>
        <v>8.2738122761840255E-2</v>
      </c>
      <c r="M10" s="211"/>
      <c r="N10" s="210">
        <f t="shared" si="4"/>
        <v>0.32332526230831315</v>
      </c>
      <c r="O10" s="208"/>
      <c r="P10" s="210">
        <f t="shared" si="5"/>
        <v>6.618108484393416E-2</v>
      </c>
      <c r="Q10" s="178"/>
      <c r="R10" s="210">
        <f t="shared" si="6"/>
        <v>5.7812942033592093E-2</v>
      </c>
      <c r="S10" s="212">
        <f t="shared" si="7"/>
        <v>0.10532992645125845</v>
      </c>
      <c r="T10" s="212" t="e">
        <f>S10*#REF!</f>
        <v>#REF!</v>
      </c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</row>
    <row r="11" spans="1:41" x14ac:dyDescent="0.25">
      <c r="A11" s="258" t="s">
        <v>47</v>
      </c>
      <c r="B11" s="259"/>
      <c r="C11" s="254"/>
      <c r="D11" s="207">
        <f t="shared" si="0"/>
        <v>1.8474123211048177E-2</v>
      </c>
      <c r="E11" s="208"/>
      <c r="F11" s="207"/>
      <c r="G11" s="207"/>
      <c r="H11" s="207">
        <f t="shared" si="1"/>
        <v>3.8404301619499488E-2</v>
      </c>
      <c r="I11" s="209"/>
      <c r="J11" s="210">
        <f t="shared" si="2"/>
        <v>1.7872647051729092E-2</v>
      </c>
      <c r="K11" s="206"/>
      <c r="L11" s="210">
        <f t="shared" si="3"/>
        <v>0.23443697536617666</v>
      </c>
      <c r="M11" s="211"/>
      <c r="N11" s="210">
        <f t="shared" si="4"/>
        <v>0</v>
      </c>
      <c r="O11" s="208"/>
      <c r="P11" s="210">
        <f t="shared" si="5"/>
        <v>0.24353294591746993</v>
      </c>
      <c r="Q11" s="178"/>
      <c r="R11" s="210">
        <f t="shared" si="6"/>
        <v>0.31367102378666389</v>
      </c>
      <c r="S11" s="212">
        <f t="shared" si="7"/>
        <v>0.13905881912338641</v>
      </c>
      <c r="T11" s="212" t="e">
        <f>S11*#REF!</f>
        <v>#REF!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</row>
    <row r="12" spans="1:41" x14ac:dyDescent="0.25">
      <c r="A12" s="258" t="s">
        <v>48</v>
      </c>
      <c r="B12" s="259"/>
      <c r="C12" s="254"/>
      <c r="D12" s="207">
        <f t="shared" si="0"/>
        <v>0.22512329229834088</v>
      </c>
      <c r="E12" s="208"/>
      <c r="F12" s="207"/>
      <c r="G12" s="207"/>
      <c r="H12" s="207">
        <f t="shared" si="1"/>
        <v>0.13715871935340562</v>
      </c>
      <c r="I12" s="209"/>
      <c r="J12" s="210">
        <f t="shared" si="2"/>
        <v>0.22061677134250765</v>
      </c>
      <c r="K12" s="206"/>
      <c r="L12" s="210">
        <f t="shared" si="3"/>
        <v>5.4131922152656844E-2</v>
      </c>
      <c r="M12" s="211"/>
      <c r="N12" s="210">
        <f t="shared" si="4"/>
        <v>0.54560129136400326</v>
      </c>
      <c r="O12" s="208"/>
      <c r="P12" s="210">
        <f t="shared" si="5"/>
        <v>6.5839924509094844E-2</v>
      </c>
      <c r="Q12" s="178"/>
      <c r="R12" s="210">
        <f t="shared" si="6"/>
        <v>7.3190986911163464E-2</v>
      </c>
      <c r="S12" s="212">
        <f t="shared" si="7"/>
        <v>0.13251579576549413</v>
      </c>
      <c r="T12" s="212" t="e">
        <f>S12*#REF!</f>
        <v>#REF!</v>
      </c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</row>
    <row r="13" spans="1:41" x14ac:dyDescent="0.25">
      <c r="A13" s="258" t="s">
        <v>49</v>
      </c>
      <c r="B13" s="259"/>
      <c r="C13" s="254"/>
      <c r="D13" s="207">
        <f t="shared" si="0"/>
        <v>8.8580668617497818E-2</v>
      </c>
      <c r="E13" s="208"/>
      <c r="F13" s="207"/>
      <c r="G13" s="207"/>
      <c r="H13" s="207">
        <f t="shared" si="1"/>
        <v>0.144071006368237</v>
      </c>
      <c r="I13" s="209"/>
      <c r="J13" s="210">
        <f t="shared" si="2"/>
        <v>0.11965676197045598</v>
      </c>
      <c r="K13" s="206"/>
      <c r="L13" s="210">
        <f t="shared" si="3"/>
        <v>0.41498747677167269</v>
      </c>
      <c r="M13" s="211"/>
      <c r="N13" s="210">
        <f t="shared" si="4"/>
        <v>0</v>
      </c>
      <c r="O13" s="208"/>
      <c r="P13" s="210">
        <f t="shared" si="5"/>
        <v>0.4458397777862389</v>
      </c>
      <c r="Q13" s="178"/>
      <c r="R13" s="210">
        <f t="shared" si="6"/>
        <v>0.42440735412823194</v>
      </c>
      <c r="S13" s="212">
        <f t="shared" si="7"/>
        <v>0.26846935411363126</v>
      </c>
      <c r="T13" s="212" t="e">
        <f>S13*#REF!</f>
        <v>#REF!</v>
      </c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</row>
    <row r="14" spans="1:41" x14ac:dyDescent="0.25">
      <c r="A14" s="258" t="s">
        <v>50</v>
      </c>
      <c r="B14" s="259"/>
      <c r="C14" s="254"/>
      <c r="D14" s="207">
        <f t="shared" si="0"/>
        <v>6.8493070569306716E-2</v>
      </c>
      <c r="E14" s="208"/>
      <c r="F14" s="207"/>
      <c r="G14" s="207"/>
      <c r="H14" s="207">
        <f t="shared" si="1"/>
        <v>5.7326178879430728E-2</v>
      </c>
      <c r="I14" s="209"/>
      <c r="J14" s="210">
        <f t="shared" si="2"/>
        <v>5.9532716311236203E-2</v>
      </c>
      <c r="K14" s="206"/>
      <c r="L14" s="210">
        <f t="shared" si="3"/>
        <v>4.9896575050713737E-2</v>
      </c>
      <c r="M14" s="211"/>
      <c r="N14" s="210">
        <f t="shared" si="4"/>
        <v>0.13107344632768361</v>
      </c>
      <c r="O14" s="208"/>
      <c r="P14" s="210">
        <f t="shared" si="5"/>
        <v>2.1331316818935134E-2</v>
      </c>
      <c r="Q14" s="178"/>
      <c r="R14" s="210">
        <f t="shared" si="6"/>
        <v>2.4169072421691445E-2</v>
      </c>
      <c r="S14" s="212">
        <f t="shared" si="7"/>
        <v>5.2290206399101667E-2</v>
      </c>
      <c r="T14" s="212" t="e">
        <f>S14*#REF!</f>
        <v>#REF!</v>
      </c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</row>
    <row r="15" spans="1:41" x14ac:dyDescent="0.25">
      <c r="A15" s="258" t="s">
        <v>51</v>
      </c>
      <c r="B15" s="259"/>
      <c r="C15" s="254"/>
      <c r="D15" s="207">
        <f t="shared" si="0"/>
        <v>0.22792933557172818</v>
      </c>
      <c r="E15" s="208"/>
      <c r="F15" s="207"/>
      <c r="G15" s="207"/>
      <c r="H15" s="207">
        <f t="shared" si="1"/>
        <v>6.3316910687543179E-2</v>
      </c>
      <c r="I15" s="209"/>
      <c r="J15" s="210">
        <f t="shared" si="2"/>
        <v>0.2539654567138207</v>
      </c>
      <c r="K15" s="206"/>
      <c r="L15" s="210">
        <f t="shared" si="3"/>
        <v>2.7418678395743374E-2</v>
      </c>
      <c r="M15" s="211"/>
      <c r="N15" s="210">
        <f t="shared" si="4"/>
        <v>0</v>
      </c>
      <c r="O15" s="208"/>
      <c r="P15" s="210">
        <f t="shared" si="5"/>
        <v>3.8434675054839371E-2</v>
      </c>
      <c r="Q15" s="178"/>
      <c r="R15" s="210">
        <f t="shared" si="6"/>
        <v>4.2156856319899336E-2</v>
      </c>
      <c r="S15" s="212">
        <f t="shared" si="7"/>
        <v>8.9800423014597675E-2</v>
      </c>
      <c r="T15" s="212" t="e">
        <f>S15*#REF!</f>
        <v>#REF!</v>
      </c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</row>
    <row r="16" spans="1:41" x14ac:dyDescent="0.25">
      <c r="A16" s="258" t="s">
        <v>52</v>
      </c>
      <c r="B16" s="259"/>
      <c r="C16" s="254"/>
      <c r="D16" s="207">
        <f t="shared" si="0"/>
        <v>0.15738448941793273</v>
      </c>
      <c r="E16" s="208"/>
      <c r="F16" s="207"/>
      <c r="G16" s="207"/>
      <c r="H16" s="207">
        <f t="shared" si="1"/>
        <v>3.6317587976515582E-2</v>
      </c>
      <c r="I16" s="209"/>
      <c r="J16" s="210">
        <f t="shared" si="2"/>
        <v>0.18154139739501557</v>
      </c>
      <c r="K16" s="206"/>
      <c r="L16" s="210">
        <f t="shared" si="3"/>
        <v>9.4637222752683464E-2</v>
      </c>
      <c r="M16" s="211"/>
      <c r="N16" s="210">
        <f t="shared" si="4"/>
        <v>0</v>
      </c>
      <c r="O16" s="208"/>
      <c r="P16" s="210">
        <f t="shared" si="5"/>
        <v>9.9811424669022972E-2</v>
      </c>
      <c r="Q16" s="178"/>
      <c r="R16" s="210">
        <f t="shared" si="6"/>
        <v>2.8368794326241137E-3</v>
      </c>
      <c r="S16" s="212">
        <f t="shared" si="7"/>
        <v>8.8407679742994641E-2</v>
      </c>
      <c r="T16" s="212" t="e">
        <f>S16*#REF!</f>
        <v>#REF!</v>
      </c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</row>
    <row r="17" spans="1:41" ht="15.75" thickBot="1" x14ac:dyDescent="0.3">
      <c r="A17" s="235"/>
      <c r="B17" s="236"/>
      <c r="C17" s="255"/>
      <c r="D17" s="214"/>
      <c r="E17" s="215"/>
      <c r="F17" s="214"/>
      <c r="G17" s="214"/>
      <c r="H17" s="214"/>
      <c r="I17" s="216"/>
      <c r="J17" s="217"/>
      <c r="K17" s="213"/>
      <c r="L17" s="217"/>
      <c r="M17" s="218"/>
      <c r="N17" s="217"/>
      <c r="O17" s="215"/>
      <c r="P17" s="217"/>
      <c r="Q17" s="179"/>
      <c r="R17" s="217"/>
      <c r="S17" s="219"/>
      <c r="T17" s="21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</row>
    <row r="18" spans="1:41" x14ac:dyDescent="0.2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</row>
    <row r="19" spans="1:41" x14ac:dyDescent="0.25">
      <c r="A19" s="220" t="s">
        <v>18</v>
      </c>
      <c r="B19" s="221" t="s">
        <v>86</v>
      </c>
      <c r="C19" s="222">
        <f t="shared" ref="C19:J19" si="8">SUM(C20:C29)</f>
        <v>5310.8179369161035</v>
      </c>
      <c r="D19" s="223">
        <f t="shared" si="8"/>
        <v>1.0000000000000002</v>
      </c>
      <c r="E19" s="224">
        <f t="shared" si="8"/>
        <v>25793</v>
      </c>
      <c r="F19" s="225">
        <f t="shared" si="8"/>
        <v>25348</v>
      </c>
      <c r="G19" s="226">
        <f t="shared" si="8"/>
        <v>51141</v>
      </c>
      <c r="H19" s="223">
        <f t="shared" si="8"/>
        <v>1</v>
      </c>
      <c r="I19" s="222">
        <f t="shared" si="8"/>
        <v>3036.0340093251439</v>
      </c>
      <c r="J19" s="223">
        <f t="shared" si="8"/>
        <v>1</v>
      </c>
      <c r="K19" s="183"/>
      <c r="L19" s="183"/>
      <c r="M19" s="222">
        <f>SUM(M20:M29)</f>
        <v>3097.5</v>
      </c>
      <c r="N19" s="223">
        <f>SUM(N20:N29)</f>
        <v>1</v>
      </c>
      <c r="O19" s="180"/>
      <c r="P19" s="183"/>
      <c r="Q19" s="227">
        <f>SUM(Q20:Q29)</f>
        <v>107.5</v>
      </c>
      <c r="R19" s="228">
        <f>SUM(R20:R29)</f>
        <v>1</v>
      </c>
      <c r="S19" s="189"/>
      <c r="T19" s="189"/>
    </row>
    <row r="20" spans="1:41" x14ac:dyDescent="0.25">
      <c r="A20" s="256"/>
      <c r="B20" s="257"/>
      <c r="C20" s="229"/>
      <c r="D20" s="230"/>
      <c r="E20" s="231"/>
      <c r="F20" s="232"/>
      <c r="G20" s="233"/>
      <c r="H20" s="230"/>
      <c r="I20" s="229"/>
      <c r="J20" s="230"/>
      <c r="K20" s="183"/>
      <c r="L20" s="183"/>
      <c r="M20" s="229"/>
      <c r="N20" s="230"/>
      <c r="O20" s="180"/>
      <c r="P20" s="183"/>
      <c r="Q20" s="234"/>
      <c r="R20" s="230"/>
      <c r="S20" s="189"/>
      <c r="T20" s="189"/>
    </row>
    <row r="21" spans="1:41" x14ac:dyDescent="0.25">
      <c r="A21" s="258" t="s">
        <v>45</v>
      </c>
      <c r="B21" s="259"/>
      <c r="C21" s="229">
        <v>797.9621435594886</v>
      </c>
      <c r="D21" s="230">
        <f t="shared" ref="D21:D28" si="9">+C21/C$19</f>
        <v>0.15025221218990814</v>
      </c>
      <c r="E21" s="231">
        <v>5806</v>
      </c>
      <c r="F21" s="232">
        <v>11952</v>
      </c>
      <c r="G21" s="233">
        <f t="shared" ref="G21:G28" si="10">+E21+F21</f>
        <v>17758</v>
      </c>
      <c r="H21" s="230">
        <f t="shared" ref="H21:H28" si="11">+G21/G$19</f>
        <v>0.34723607281828672</v>
      </c>
      <c r="I21" s="229">
        <v>289.70745244472306</v>
      </c>
      <c r="J21" s="230">
        <f t="shared" ref="J21:J28" si="12">+I21/I$19</f>
        <v>9.542299314002739E-2</v>
      </c>
      <c r="K21" s="183"/>
      <c r="L21" s="183"/>
      <c r="M21" s="229">
        <v>0</v>
      </c>
      <c r="N21" s="230">
        <f t="shared" ref="N21:N28" si="13">+M21/M$19</f>
        <v>0</v>
      </c>
      <c r="O21" s="180"/>
      <c r="P21" s="183"/>
      <c r="Q21" s="234">
        <v>8</v>
      </c>
      <c r="R21" s="230">
        <f t="shared" ref="R21:R28" si="14">+Q21/Q$19</f>
        <v>7.441860465116279E-2</v>
      </c>
      <c r="S21" s="189"/>
      <c r="T21" s="189"/>
    </row>
    <row r="22" spans="1:41" x14ac:dyDescent="0.25">
      <c r="A22" s="258" t="s">
        <v>46</v>
      </c>
      <c r="B22" s="259"/>
      <c r="C22" s="229">
        <v>338.63266509433964</v>
      </c>
      <c r="D22" s="230">
        <f t="shared" si="9"/>
        <v>6.3762808124237361E-2</v>
      </c>
      <c r="E22" s="231">
        <v>8748</v>
      </c>
      <c r="F22" s="232">
        <v>1418</v>
      </c>
      <c r="G22" s="233">
        <f t="shared" si="10"/>
        <v>10166</v>
      </c>
      <c r="H22" s="230">
        <f t="shared" si="11"/>
        <v>0.19878375471735008</v>
      </c>
      <c r="I22" s="229">
        <v>156.0256012262673</v>
      </c>
      <c r="J22" s="230">
        <f t="shared" si="12"/>
        <v>5.1391256075207468E-2</v>
      </c>
      <c r="K22" s="183"/>
      <c r="L22" s="183"/>
      <c r="M22" s="229">
        <v>1001.5</v>
      </c>
      <c r="N22" s="230">
        <f t="shared" si="13"/>
        <v>0.32332526230831315</v>
      </c>
      <c r="O22" s="180"/>
      <c r="P22" s="183"/>
      <c r="Q22" s="234">
        <v>7</v>
      </c>
      <c r="R22" s="230">
        <f t="shared" si="14"/>
        <v>6.5116279069767441E-2</v>
      </c>
      <c r="S22" s="189"/>
      <c r="T22" s="189"/>
    </row>
    <row r="23" spans="1:41" x14ac:dyDescent="0.25">
      <c r="A23" s="258" t="s">
        <v>47</v>
      </c>
      <c r="B23" s="259"/>
      <c r="C23" s="229">
        <v>98.112704918032776</v>
      </c>
      <c r="D23" s="230">
        <f t="shared" si="9"/>
        <v>1.8474123211048177E-2</v>
      </c>
      <c r="E23" s="231">
        <v>1276</v>
      </c>
      <c r="F23" s="232">
        <v>607</v>
      </c>
      <c r="G23" s="233">
        <f t="shared" si="10"/>
        <v>1883</v>
      </c>
      <c r="H23" s="230">
        <f t="shared" si="11"/>
        <v>3.6819772785045266E-2</v>
      </c>
      <c r="I23" s="229">
        <v>54.261964285714285</v>
      </c>
      <c r="J23" s="230">
        <f t="shared" si="12"/>
        <v>1.7872647051729092E-2</v>
      </c>
      <c r="K23" s="183"/>
      <c r="L23" s="183"/>
      <c r="M23" s="229"/>
      <c r="N23" s="230">
        <f t="shared" si="13"/>
        <v>0</v>
      </c>
      <c r="O23" s="180"/>
      <c r="P23" s="183"/>
      <c r="Q23" s="234">
        <v>24</v>
      </c>
      <c r="R23" s="230">
        <f t="shared" si="14"/>
        <v>0.22325581395348837</v>
      </c>
      <c r="S23" s="189"/>
      <c r="T23" s="189"/>
    </row>
    <row r="24" spans="1:41" x14ac:dyDescent="0.25">
      <c r="A24" s="258" t="s">
        <v>48</v>
      </c>
      <c r="B24" s="259"/>
      <c r="C24" s="229">
        <v>1195.5888187556357</v>
      </c>
      <c r="D24" s="230">
        <f t="shared" si="9"/>
        <v>0.22512329229834088</v>
      </c>
      <c r="E24" s="231">
        <v>3035</v>
      </c>
      <c r="F24" s="232">
        <v>3467</v>
      </c>
      <c r="G24" s="233">
        <f t="shared" si="10"/>
        <v>6502</v>
      </c>
      <c r="H24" s="230">
        <f t="shared" si="11"/>
        <v>0.12713869498054398</v>
      </c>
      <c r="I24" s="229">
        <v>669.80002082336205</v>
      </c>
      <c r="J24" s="230">
        <f t="shared" si="12"/>
        <v>0.22061677134250765</v>
      </c>
      <c r="K24" s="183"/>
      <c r="L24" s="183"/>
      <c r="M24" s="229">
        <v>1690</v>
      </c>
      <c r="N24" s="230">
        <f t="shared" si="13"/>
        <v>0.54560129136400326</v>
      </c>
      <c r="O24" s="180"/>
      <c r="P24" s="183"/>
      <c r="Q24" s="234">
        <v>7.5</v>
      </c>
      <c r="R24" s="230">
        <f t="shared" si="14"/>
        <v>6.9767441860465115E-2</v>
      </c>
      <c r="S24" s="189"/>
      <c r="T24" s="189"/>
    </row>
    <row r="25" spans="1:41" x14ac:dyDescent="0.25">
      <c r="A25" s="258" t="s">
        <v>49</v>
      </c>
      <c r="B25" s="259"/>
      <c r="C25" s="229">
        <v>470.43580375782881</v>
      </c>
      <c r="D25" s="230">
        <f t="shared" si="9"/>
        <v>8.8580668617497818E-2</v>
      </c>
      <c r="E25" s="231">
        <v>2800</v>
      </c>
      <c r="F25" s="232">
        <v>4148</v>
      </c>
      <c r="G25" s="233">
        <f t="shared" si="10"/>
        <v>6948</v>
      </c>
      <c r="H25" s="230">
        <f t="shared" si="11"/>
        <v>0.13585968205549365</v>
      </c>
      <c r="I25" s="229">
        <v>363.28199878802786</v>
      </c>
      <c r="J25" s="230">
        <f t="shared" si="12"/>
        <v>0.11965676197045598</v>
      </c>
      <c r="K25" s="183"/>
      <c r="L25" s="183"/>
      <c r="M25" s="229"/>
      <c r="N25" s="230">
        <f t="shared" si="13"/>
        <v>0</v>
      </c>
      <c r="O25" s="180"/>
      <c r="P25" s="183"/>
      <c r="Q25" s="234">
        <v>54</v>
      </c>
      <c r="R25" s="230">
        <f t="shared" si="14"/>
        <v>0.50232558139534889</v>
      </c>
      <c r="S25" s="189"/>
      <c r="T25" s="189"/>
    </row>
    <row r="26" spans="1:41" x14ac:dyDescent="0.25">
      <c r="A26" s="258" t="s">
        <v>50</v>
      </c>
      <c r="B26" s="259"/>
      <c r="C26" s="229">
        <v>363.75422773393461</v>
      </c>
      <c r="D26" s="230">
        <f t="shared" si="9"/>
        <v>6.8493070569306716E-2</v>
      </c>
      <c r="E26" s="231">
        <v>1136</v>
      </c>
      <c r="F26" s="232">
        <v>1922</v>
      </c>
      <c r="G26" s="233">
        <f t="shared" si="10"/>
        <v>3058</v>
      </c>
      <c r="H26" s="230">
        <f t="shared" si="11"/>
        <v>5.9795467433174945E-2</v>
      </c>
      <c r="I26" s="229">
        <v>180.74335138841883</v>
      </c>
      <c r="J26" s="230">
        <f t="shared" si="12"/>
        <v>5.9532716311236203E-2</v>
      </c>
      <c r="K26" s="183"/>
      <c r="L26" s="183"/>
      <c r="M26" s="229">
        <v>406</v>
      </c>
      <c r="N26" s="230">
        <f t="shared" si="13"/>
        <v>0.13107344632768361</v>
      </c>
      <c r="O26" s="180"/>
      <c r="P26" s="183"/>
      <c r="Q26" s="234">
        <v>3</v>
      </c>
      <c r="R26" s="230">
        <f t="shared" si="14"/>
        <v>2.7906976744186046E-2</v>
      </c>
      <c r="S26" s="189"/>
      <c r="T26" s="189"/>
    </row>
    <row r="27" spans="1:41" x14ac:dyDescent="0.25">
      <c r="A27" s="258" t="s">
        <v>51</v>
      </c>
      <c r="B27" s="259"/>
      <c r="C27" s="229">
        <v>1210.4912037037036</v>
      </c>
      <c r="D27" s="230">
        <f t="shared" si="9"/>
        <v>0.22792933557172818</v>
      </c>
      <c r="E27" s="231">
        <v>1986</v>
      </c>
      <c r="F27" s="232">
        <v>877</v>
      </c>
      <c r="G27" s="233">
        <f t="shared" si="10"/>
        <v>2863</v>
      </c>
      <c r="H27" s="230">
        <f t="shared" si="11"/>
        <v>5.5982479810719382E-2</v>
      </c>
      <c r="I27" s="229">
        <v>771.04776377695237</v>
      </c>
      <c r="J27" s="230">
        <f t="shared" si="12"/>
        <v>0.2539654567138207</v>
      </c>
      <c r="K27" s="183"/>
      <c r="L27" s="183"/>
      <c r="M27" s="229"/>
      <c r="N27" s="230">
        <f t="shared" si="13"/>
        <v>0</v>
      </c>
      <c r="O27" s="180"/>
      <c r="P27" s="183"/>
      <c r="Q27" s="234">
        <v>4</v>
      </c>
      <c r="R27" s="230">
        <f t="shared" si="14"/>
        <v>3.7209302325581395E-2</v>
      </c>
      <c r="S27" s="189"/>
      <c r="T27" s="189"/>
    </row>
    <row r="28" spans="1:41" x14ac:dyDescent="0.25">
      <c r="A28" s="258" t="s">
        <v>52</v>
      </c>
      <c r="B28" s="259"/>
      <c r="C28" s="229">
        <v>835.84036939313989</v>
      </c>
      <c r="D28" s="230">
        <f t="shared" si="9"/>
        <v>0.15738448941793273</v>
      </c>
      <c r="E28" s="231">
        <v>1006</v>
      </c>
      <c r="F28" s="232">
        <v>957</v>
      </c>
      <c r="G28" s="233">
        <f t="shared" si="10"/>
        <v>1963</v>
      </c>
      <c r="H28" s="230">
        <f t="shared" si="11"/>
        <v>3.8384075399386014E-2</v>
      </c>
      <c r="I28" s="229">
        <v>551.16585659167833</v>
      </c>
      <c r="J28" s="230">
        <f t="shared" si="12"/>
        <v>0.18154139739501557</v>
      </c>
      <c r="K28" s="183"/>
      <c r="L28" s="183"/>
      <c r="M28" s="229"/>
      <c r="N28" s="230">
        <f t="shared" si="13"/>
        <v>0</v>
      </c>
      <c r="O28" s="180"/>
      <c r="P28" s="183"/>
      <c r="Q28" s="234">
        <v>0</v>
      </c>
      <c r="R28" s="230">
        <f t="shared" si="14"/>
        <v>0</v>
      </c>
      <c r="S28" s="189"/>
      <c r="T28" s="189"/>
    </row>
    <row r="29" spans="1:41" x14ac:dyDescent="0.25">
      <c r="A29" s="235"/>
      <c r="B29" s="236"/>
      <c r="C29" s="237"/>
      <c r="D29" s="238"/>
      <c r="E29" s="239"/>
      <c r="F29" s="240"/>
      <c r="G29" s="241"/>
      <c r="H29" s="238"/>
      <c r="I29" s="237"/>
      <c r="J29" s="238"/>
      <c r="K29" s="183"/>
      <c r="L29" s="183"/>
      <c r="M29" s="237"/>
      <c r="N29" s="238"/>
      <c r="O29" s="180"/>
      <c r="P29" s="183"/>
      <c r="Q29" s="242"/>
      <c r="R29" s="238"/>
      <c r="S29" s="189"/>
      <c r="T29" s="189"/>
    </row>
    <row r="30" spans="1:41" x14ac:dyDescent="0.25">
      <c r="A30" s="183"/>
      <c r="B30" s="183"/>
      <c r="C30" s="183"/>
      <c r="D30" s="183"/>
      <c r="E30" s="183"/>
      <c r="F30" s="183"/>
      <c r="G30" s="183"/>
      <c r="H30" s="183"/>
      <c r="I30" s="180"/>
      <c r="J30" s="183"/>
      <c r="K30" s="183"/>
      <c r="L30" s="183"/>
      <c r="M30" s="180"/>
      <c r="N30" s="183"/>
      <c r="O30" s="180"/>
      <c r="P30" s="183"/>
      <c r="Q30" s="183"/>
      <c r="R30" s="183"/>
      <c r="S30" s="243"/>
      <c r="T30" s="183"/>
    </row>
    <row r="31" spans="1:41" x14ac:dyDescent="0.25">
      <c r="A31" s="220" t="s">
        <v>15</v>
      </c>
      <c r="B31" s="221" t="s">
        <v>86</v>
      </c>
      <c r="C31" s="181"/>
      <c r="D31" s="181"/>
      <c r="E31" s="224">
        <f>SUM(E32:E41)</f>
        <v>24218</v>
      </c>
      <c r="F31" s="244">
        <f>SUM(F32:F41)</f>
        <v>24327</v>
      </c>
      <c r="G31" s="222">
        <f>SUM(G32:G41)</f>
        <v>48545</v>
      </c>
      <c r="H31" s="223">
        <f>SUM(H32:H41)</f>
        <v>1</v>
      </c>
      <c r="I31" s="181"/>
      <c r="J31" s="181"/>
      <c r="K31" s="222">
        <f>SUM(K32:K41)</f>
        <v>77853.822617919999</v>
      </c>
      <c r="L31" s="223">
        <f>SUM(L32:L41)</f>
        <v>1</v>
      </c>
      <c r="M31" s="245"/>
      <c r="N31" s="246"/>
      <c r="O31" s="222">
        <f>SUM(O32:O41)</f>
        <v>182111100.25000003</v>
      </c>
      <c r="P31" s="223">
        <f>SUM(P32:P41)</f>
        <v>0.99999999999999978</v>
      </c>
      <c r="Q31" s="227">
        <f>SUM(Q32:Q41)</f>
        <v>151</v>
      </c>
      <c r="R31" s="228">
        <f>SUM(R32:R41)</f>
        <v>1</v>
      </c>
      <c r="S31" s="243"/>
      <c r="T31" s="183"/>
    </row>
    <row r="32" spans="1:41" x14ac:dyDescent="0.25">
      <c r="A32" s="256"/>
      <c r="B32" s="257"/>
      <c r="C32" s="181"/>
      <c r="D32" s="181"/>
      <c r="E32" s="231"/>
      <c r="F32" s="232"/>
      <c r="G32" s="233"/>
      <c r="H32" s="230"/>
      <c r="I32" s="181"/>
      <c r="J32" s="181"/>
      <c r="K32" s="229"/>
      <c r="L32" s="230"/>
      <c r="M32" s="245"/>
      <c r="N32" s="247"/>
      <c r="O32" s="229"/>
      <c r="P32" s="230"/>
      <c r="Q32" s="234"/>
      <c r="R32" s="230"/>
      <c r="S32" s="516"/>
      <c r="T32" s="183"/>
    </row>
    <row r="33" spans="1:20" x14ac:dyDescent="0.25">
      <c r="A33" s="258" t="s">
        <v>45</v>
      </c>
      <c r="B33" s="259"/>
      <c r="C33" s="181"/>
      <c r="D33" s="181"/>
      <c r="E33" s="231">
        <v>4126</v>
      </c>
      <c r="F33" s="232">
        <v>12320</v>
      </c>
      <c r="G33" s="233">
        <f t="shared" ref="G33:G40" si="15">+E33+F33</f>
        <v>16446</v>
      </c>
      <c r="H33" s="230">
        <f t="shared" ref="H33:H40" si="16">+G33/G$31</f>
        <v>0.33877845298176951</v>
      </c>
      <c r="I33" s="181"/>
      <c r="J33" s="181"/>
      <c r="K33" s="229">
        <v>3250.63273824</v>
      </c>
      <c r="L33" s="230">
        <f t="shared" ref="L33:L40" si="17">+K33/K$31</f>
        <v>4.1753026748513E-2</v>
      </c>
      <c r="M33" s="245"/>
      <c r="N33" s="247"/>
      <c r="O33" s="229">
        <v>2822201.35</v>
      </c>
      <c r="P33" s="230">
        <f t="shared" ref="P33:P40" si="18">+O33/O$31</f>
        <v>1.549714073511013E-2</v>
      </c>
      <c r="Q33" s="234">
        <v>7</v>
      </c>
      <c r="R33" s="230">
        <f t="shared" ref="R33:R40" si="19">+Q33/Q$31</f>
        <v>4.6357615894039736E-2</v>
      </c>
      <c r="S33" s="516"/>
      <c r="T33" s="183"/>
    </row>
    <row r="34" spans="1:20" x14ac:dyDescent="0.25">
      <c r="A34" s="258" t="s">
        <v>46</v>
      </c>
      <c r="B34" s="259"/>
      <c r="C34" s="181"/>
      <c r="D34" s="181"/>
      <c r="E34" s="231">
        <v>7615</v>
      </c>
      <c r="F34" s="232">
        <v>754</v>
      </c>
      <c r="G34" s="233">
        <f t="shared" si="15"/>
        <v>8369</v>
      </c>
      <c r="H34" s="230">
        <f t="shared" si="16"/>
        <v>0.17239674528787724</v>
      </c>
      <c r="I34" s="181"/>
      <c r="J34" s="181"/>
      <c r="K34" s="229">
        <v>6441.47913324</v>
      </c>
      <c r="L34" s="230">
        <f t="shared" si="17"/>
        <v>8.2738122761840255E-2</v>
      </c>
      <c r="M34" s="245"/>
      <c r="N34" s="247"/>
      <c r="O34" s="229">
        <v>12533126.470000001</v>
      </c>
      <c r="P34" s="230">
        <f t="shared" si="18"/>
        <v>6.8821320901332583E-2</v>
      </c>
      <c r="Q34" s="234">
        <v>7</v>
      </c>
      <c r="R34" s="230">
        <f t="shared" si="19"/>
        <v>4.6357615894039736E-2</v>
      </c>
      <c r="S34" s="516"/>
      <c r="T34" s="183"/>
    </row>
    <row r="35" spans="1:20" x14ac:dyDescent="0.25">
      <c r="A35" s="258" t="s">
        <v>47</v>
      </c>
      <c r="B35" s="259"/>
      <c r="C35" s="181"/>
      <c r="D35" s="181"/>
      <c r="E35" s="231">
        <v>1336</v>
      </c>
      <c r="F35" s="232">
        <v>1149</v>
      </c>
      <c r="G35" s="233">
        <f t="shared" si="15"/>
        <v>2485</v>
      </c>
      <c r="H35" s="230">
        <f t="shared" si="16"/>
        <v>5.1189617880317229E-2</v>
      </c>
      <c r="I35" s="181"/>
      <c r="J35" s="181"/>
      <c r="K35" s="229">
        <v>18251.814695239998</v>
      </c>
      <c r="L35" s="230">
        <f t="shared" si="17"/>
        <v>0.23443697536617666</v>
      </c>
      <c r="M35" s="245"/>
      <c r="N35" s="247"/>
      <c r="O35" s="229">
        <v>43253045.68</v>
      </c>
      <c r="P35" s="230">
        <f t="shared" si="18"/>
        <v>0.23750911185876486</v>
      </c>
      <c r="Q35" s="234">
        <v>61</v>
      </c>
      <c r="R35" s="230">
        <f t="shared" si="19"/>
        <v>0.40397350993377484</v>
      </c>
      <c r="S35" s="516"/>
      <c r="T35" s="183"/>
    </row>
    <row r="36" spans="1:20" x14ac:dyDescent="0.25">
      <c r="A36" s="258" t="s">
        <v>48</v>
      </c>
      <c r="B36" s="259"/>
      <c r="C36" s="181"/>
      <c r="D36" s="181"/>
      <c r="E36" s="231">
        <v>2932</v>
      </c>
      <c r="F36" s="232">
        <v>2738</v>
      </c>
      <c r="G36" s="233">
        <f t="shared" si="15"/>
        <v>5670</v>
      </c>
      <c r="H36" s="230">
        <f t="shared" si="16"/>
        <v>0.11679884643114635</v>
      </c>
      <c r="I36" s="181"/>
      <c r="J36" s="181"/>
      <c r="K36" s="229">
        <v>4214.3770652399999</v>
      </c>
      <c r="L36" s="230">
        <f t="shared" si="17"/>
        <v>5.4131922152656844E-2</v>
      </c>
      <c r="M36" s="245"/>
      <c r="N36" s="247"/>
      <c r="O36" s="229">
        <v>14809879.43</v>
      </c>
      <c r="P36" s="230">
        <f t="shared" si="18"/>
        <v>8.1323320817177899E-2</v>
      </c>
      <c r="Q36" s="234">
        <v>10</v>
      </c>
      <c r="R36" s="230">
        <f t="shared" si="19"/>
        <v>6.6225165562913912E-2</v>
      </c>
      <c r="S36" s="243"/>
      <c r="T36" s="183"/>
    </row>
    <row r="37" spans="1:20" x14ac:dyDescent="0.25">
      <c r="A37" s="258" t="s">
        <v>49</v>
      </c>
      <c r="B37" s="259"/>
      <c r="C37" s="181"/>
      <c r="D37" s="181"/>
      <c r="E37" s="231">
        <v>3186</v>
      </c>
      <c r="F37" s="232">
        <v>4824</v>
      </c>
      <c r="G37" s="233">
        <f t="shared" si="15"/>
        <v>8010</v>
      </c>
      <c r="H37" s="230">
        <f t="shared" si="16"/>
        <v>0.16500154495828612</v>
      </c>
      <c r="I37" s="181"/>
      <c r="J37" s="181"/>
      <c r="K37" s="229">
        <v>32308.361405240001</v>
      </c>
      <c r="L37" s="230">
        <f t="shared" si="17"/>
        <v>0.41498747677167269</v>
      </c>
      <c r="M37" s="245"/>
      <c r="N37" s="247"/>
      <c r="O37" s="229">
        <v>79980535.489999995</v>
      </c>
      <c r="P37" s="230">
        <f t="shared" si="18"/>
        <v>0.43918539496056874</v>
      </c>
      <c r="Q37" s="234">
        <v>56.5</v>
      </c>
      <c r="R37" s="230">
        <f t="shared" si="19"/>
        <v>0.3741721854304636</v>
      </c>
      <c r="S37" s="243"/>
      <c r="T37" s="183"/>
    </row>
    <row r="38" spans="1:20" x14ac:dyDescent="0.25">
      <c r="A38" s="258" t="s">
        <v>50</v>
      </c>
      <c r="B38" s="259"/>
      <c r="C38" s="181"/>
      <c r="D38" s="181"/>
      <c r="E38" s="231">
        <v>1669</v>
      </c>
      <c r="F38" s="232">
        <v>1199</v>
      </c>
      <c r="G38" s="233">
        <f t="shared" si="15"/>
        <v>2868</v>
      </c>
      <c r="H38" s="230">
        <f t="shared" si="16"/>
        <v>5.907920486146874E-2</v>
      </c>
      <c r="I38" s="181"/>
      <c r="J38" s="181"/>
      <c r="K38" s="229">
        <v>3884.6391032399997</v>
      </c>
      <c r="L38" s="230">
        <f t="shared" si="17"/>
        <v>4.9896575050713737E-2</v>
      </c>
      <c r="M38" s="245"/>
      <c r="N38" s="247"/>
      <c r="O38" s="229">
        <v>3967998.27</v>
      </c>
      <c r="P38" s="230">
        <f t="shared" si="18"/>
        <v>2.178888746788514E-2</v>
      </c>
      <c r="Q38" s="234">
        <v>3</v>
      </c>
      <c r="R38" s="230">
        <f t="shared" si="19"/>
        <v>1.9867549668874173E-2</v>
      </c>
      <c r="S38" s="243"/>
      <c r="T38" s="183"/>
    </row>
    <row r="39" spans="1:20" x14ac:dyDescent="0.25">
      <c r="A39" s="258" t="s">
        <v>51</v>
      </c>
      <c r="B39" s="259"/>
      <c r="C39" s="181"/>
      <c r="D39" s="181"/>
      <c r="E39" s="231">
        <v>2029</v>
      </c>
      <c r="F39" s="232">
        <v>835</v>
      </c>
      <c r="G39" s="233">
        <f t="shared" si="15"/>
        <v>2864</v>
      </c>
      <c r="H39" s="230">
        <f t="shared" si="16"/>
        <v>5.899680708620867E-2</v>
      </c>
      <c r="I39" s="181"/>
      <c r="J39" s="181"/>
      <c r="K39" s="229">
        <v>2134.6489242399998</v>
      </c>
      <c r="L39" s="230">
        <f t="shared" si="17"/>
        <v>2.7418678395743374E-2</v>
      </c>
      <c r="M39" s="245"/>
      <c r="N39" s="247"/>
      <c r="O39" s="229">
        <v>5832260.6899999995</v>
      </c>
      <c r="P39" s="230">
        <f t="shared" si="18"/>
        <v>3.2025838523810676E-2</v>
      </c>
      <c r="Q39" s="234">
        <v>6.5</v>
      </c>
      <c r="R39" s="230">
        <f t="shared" si="19"/>
        <v>4.3046357615894038E-2</v>
      </c>
      <c r="S39" s="243"/>
      <c r="T39" s="183"/>
    </row>
    <row r="40" spans="1:20" x14ac:dyDescent="0.25">
      <c r="A40" s="258" t="s">
        <v>52</v>
      </c>
      <c r="B40" s="259"/>
      <c r="C40" s="181"/>
      <c r="D40" s="181"/>
      <c r="E40" s="231">
        <v>1325</v>
      </c>
      <c r="F40" s="232">
        <v>508</v>
      </c>
      <c r="G40" s="233">
        <f t="shared" si="15"/>
        <v>1833</v>
      </c>
      <c r="H40" s="230">
        <f t="shared" si="16"/>
        <v>3.7758780512926152E-2</v>
      </c>
      <c r="I40" s="181"/>
      <c r="J40" s="181"/>
      <c r="K40" s="229">
        <v>7367.8695532400006</v>
      </c>
      <c r="L40" s="230">
        <f t="shared" si="17"/>
        <v>9.4637222752683464E-2</v>
      </c>
      <c r="M40" s="245"/>
      <c r="N40" s="247"/>
      <c r="O40" s="229">
        <v>18912052.870000001</v>
      </c>
      <c r="P40" s="230">
        <f t="shared" si="18"/>
        <v>0.10384898473534974</v>
      </c>
      <c r="Q40" s="234">
        <v>0</v>
      </c>
      <c r="R40" s="230">
        <f t="shared" si="19"/>
        <v>0</v>
      </c>
      <c r="S40" s="243"/>
      <c r="T40" s="183"/>
    </row>
    <row r="41" spans="1:20" x14ac:dyDescent="0.25">
      <c r="A41" s="235"/>
      <c r="B41" s="236"/>
      <c r="C41" s="181"/>
      <c r="D41" s="181"/>
      <c r="E41" s="239"/>
      <c r="F41" s="240"/>
      <c r="G41" s="241"/>
      <c r="H41" s="238"/>
      <c r="I41" s="181"/>
      <c r="J41" s="181"/>
      <c r="K41" s="237"/>
      <c r="L41" s="238"/>
      <c r="M41" s="245"/>
      <c r="N41" s="247"/>
      <c r="O41" s="237"/>
      <c r="P41" s="238"/>
      <c r="Q41" s="242"/>
      <c r="R41" s="238"/>
      <c r="S41" s="243"/>
      <c r="T41" s="183"/>
    </row>
    <row r="42" spans="1:20" x14ac:dyDescent="0.25">
      <c r="A42" s="183"/>
      <c r="B42" s="248"/>
      <c r="C42" s="183"/>
      <c r="D42" s="183"/>
      <c r="E42" s="183"/>
      <c r="F42" s="183"/>
      <c r="G42" s="183"/>
      <c r="H42" s="183"/>
      <c r="I42" s="180"/>
      <c r="J42" s="183"/>
      <c r="K42" s="183"/>
      <c r="L42" s="183"/>
      <c r="M42" s="180"/>
      <c r="N42" s="183"/>
      <c r="O42" s="180"/>
      <c r="P42" s="183"/>
      <c r="Q42" s="183"/>
      <c r="R42" s="248"/>
      <c r="S42" s="243"/>
      <c r="T42" s="183"/>
    </row>
    <row r="43" spans="1:20" x14ac:dyDescent="0.25">
      <c r="A43" s="220" t="s">
        <v>16</v>
      </c>
      <c r="B43" s="249" t="s">
        <v>86</v>
      </c>
      <c r="C43" s="183"/>
      <c r="D43" s="183"/>
      <c r="E43" s="224">
        <f>SUM(E44:E53)</f>
        <v>27104</v>
      </c>
      <c r="F43" s="225">
        <f>SUM(F44:F53)</f>
        <v>22707</v>
      </c>
      <c r="G43" s="226">
        <f>SUM(G44:G53)</f>
        <v>49811</v>
      </c>
      <c r="H43" s="223">
        <f>SUM(H44:H53)</f>
        <v>1</v>
      </c>
      <c r="I43" s="245"/>
      <c r="J43" s="246"/>
      <c r="K43" s="189"/>
      <c r="L43" s="189"/>
      <c r="M43" s="245"/>
      <c r="N43" s="246"/>
      <c r="O43" s="222">
        <f>SUM(O44:O53)</f>
        <v>196793859.61999997</v>
      </c>
      <c r="P43" s="223">
        <f>SUM(P44:P53)</f>
        <v>1</v>
      </c>
      <c r="Q43" s="250">
        <f>SUM(Q44:Q53)</f>
        <v>141</v>
      </c>
      <c r="R43" s="228">
        <f>SUM(R44:R53)</f>
        <v>1</v>
      </c>
      <c r="S43" s="182"/>
      <c r="T43" s="183"/>
    </row>
    <row r="44" spans="1:20" x14ac:dyDescent="0.25">
      <c r="A44" s="256"/>
      <c r="B44" s="257"/>
      <c r="C44" s="183"/>
      <c r="D44" s="183"/>
      <c r="E44" s="231"/>
      <c r="F44" s="251"/>
      <c r="G44" s="229"/>
      <c r="H44" s="230"/>
      <c r="I44" s="245"/>
      <c r="J44" s="247"/>
      <c r="K44" s="189"/>
      <c r="L44" s="189"/>
      <c r="M44" s="245"/>
      <c r="N44" s="247"/>
      <c r="O44" s="229"/>
      <c r="P44" s="230"/>
      <c r="Q44" s="234"/>
      <c r="R44" s="230"/>
      <c r="S44" s="243"/>
      <c r="T44" s="183"/>
    </row>
    <row r="45" spans="1:20" x14ac:dyDescent="0.25">
      <c r="A45" s="258" t="s">
        <v>45</v>
      </c>
      <c r="B45" s="259"/>
      <c r="C45" s="183"/>
      <c r="D45" s="183"/>
      <c r="E45" s="231">
        <v>3334</v>
      </c>
      <c r="F45" s="251">
        <v>8992</v>
      </c>
      <c r="G45" s="229">
        <f t="shared" ref="G45:G52" si="20">+E45+F45</f>
        <v>12326</v>
      </c>
      <c r="H45" s="230">
        <f t="shared" ref="H45:H52" si="21">+G45/G$43</f>
        <v>0.24745538134147077</v>
      </c>
      <c r="I45" s="245"/>
      <c r="J45" s="247"/>
      <c r="K45" s="189"/>
      <c r="L45" s="189"/>
      <c r="M45" s="245"/>
      <c r="N45" s="247"/>
      <c r="O45" s="229">
        <v>3819430.97</v>
      </c>
      <c r="P45" s="230">
        <f t="shared" ref="P45:P52" si="22">+O45/O$43</f>
        <v>1.9408283253223187E-2</v>
      </c>
      <c r="Q45" s="234">
        <v>7.5</v>
      </c>
      <c r="R45" s="230">
        <f t="shared" ref="R45:R52" si="23">+Q45/Q$43</f>
        <v>5.3191489361702128E-2</v>
      </c>
      <c r="S45" s="243"/>
      <c r="T45" s="183"/>
    </row>
    <row r="46" spans="1:20" x14ac:dyDescent="0.25">
      <c r="A46" s="258" t="s">
        <v>46</v>
      </c>
      <c r="B46" s="259"/>
      <c r="C46" s="183"/>
      <c r="D46" s="183"/>
      <c r="E46" s="231">
        <v>10194</v>
      </c>
      <c r="F46" s="251">
        <v>1649</v>
      </c>
      <c r="G46" s="229">
        <f t="shared" si="20"/>
        <v>11843</v>
      </c>
      <c r="H46" s="230">
        <f t="shared" si="21"/>
        <v>0.23775872799180903</v>
      </c>
      <c r="I46" s="245"/>
      <c r="J46" s="247"/>
      <c r="K46" s="189"/>
      <c r="L46" s="189"/>
      <c r="M46" s="245"/>
      <c r="N46" s="247"/>
      <c r="O46" s="229">
        <v>13004340.629999999</v>
      </c>
      <c r="P46" s="230">
        <f t="shared" si="22"/>
        <v>6.6081028417811369E-2</v>
      </c>
      <c r="Q46" s="234">
        <v>8</v>
      </c>
      <c r="R46" s="230">
        <f t="shared" si="23"/>
        <v>5.6737588652482268E-2</v>
      </c>
      <c r="S46" s="243"/>
      <c r="T46" s="183"/>
    </row>
    <row r="47" spans="1:20" x14ac:dyDescent="0.25">
      <c r="A47" s="258" t="s">
        <v>47</v>
      </c>
      <c r="B47" s="259"/>
      <c r="C47" s="183"/>
      <c r="D47" s="183"/>
      <c r="E47" s="231">
        <v>886</v>
      </c>
      <c r="F47" s="251">
        <v>269</v>
      </c>
      <c r="G47" s="229">
        <f t="shared" si="20"/>
        <v>1155</v>
      </c>
      <c r="H47" s="230">
        <f t="shared" si="21"/>
        <v>2.3187649314408466E-2</v>
      </c>
      <c r="I47" s="245"/>
      <c r="J47" s="247"/>
      <c r="K47" s="189"/>
      <c r="L47" s="189"/>
      <c r="M47" s="245"/>
      <c r="N47" s="247"/>
      <c r="O47" s="229">
        <v>48081907.819999993</v>
      </c>
      <c r="P47" s="230">
        <f t="shared" si="22"/>
        <v>0.24432626054920606</v>
      </c>
      <c r="Q47" s="234">
        <v>57</v>
      </c>
      <c r="R47" s="230">
        <f t="shared" si="23"/>
        <v>0.40425531914893614</v>
      </c>
      <c r="S47" s="243"/>
      <c r="T47" s="183"/>
    </row>
    <row r="48" spans="1:20" x14ac:dyDescent="0.25">
      <c r="A48" s="258" t="s">
        <v>48</v>
      </c>
      <c r="B48" s="259"/>
      <c r="C48" s="183"/>
      <c r="D48" s="183"/>
      <c r="E48" s="231">
        <v>5079</v>
      </c>
      <c r="F48" s="251">
        <v>4522</v>
      </c>
      <c r="G48" s="229">
        <f t="shared" si="20"/>
        <v>9601</v>
      </c>
      <c r="H48" s="230">
        <f t="shared" si="21"/>
        <v>0.19274858966894862</v>
      </c>
      <c r="I48" s="245"/>
      <c r="J48" s="247"/>
      <c r="K48" s="189"/>
      <c r="L48" s="189"/>
      <c r="M48" s="245"/>
      <c r="N48" s="247"/>
      <c r="O48" s="229">
        <v>12034232.84</v>
      </c>
      <c r="P48" s="230">
        <f t="shared" si="22"/>
        <v>6.1151465107892891E-2</v>
      </c>
      <c r="Q48" s="234">
        <v>13</v>
      </c>
      <c r="R48" s="230">
        <f t="shared" si="23"/>
        <v>9.2198581560283682E-2</v>
      </c>
      <c r="S48" s="243"/>
      <c r="T48" s="183"/>
    </row>
    <row r="49" spans="1:20" x14ac:dyDescent="0.25">
      <c r="A49" s="258" t="s">
        <v>49</v>
      </c>
      <c r="B49" s="259"/>
      <c r="C49" s="183"/>
      <c r="D49" s="183"/>
      <c r="E49" s="231">
        <v>1900</v>
      </c>
      <c r="F49" s="251">
        <v>4735</v>
      </c>
      <c r="G49" s="229">
        <f t="shared" si="20"/>
        <v>6635</v>
      </c>
      <c r="H49" s="230">
        <f t="shared" si="21"/>
        <v>0.13320350926502178</v>
      </c>
      <c r="I49" s="245"/>
      <c r="J49" s="247"/>
      <c r="K49" s="189"/>
      <c r="L49" s="189"/>
      <c r="M49" s="245"/>
      <c r="N49" s="247"/>
      <c r="O49" s="229">
        <v>88648673.280000001</v>
      </c>
      <c r="P49" s="230">
        <f t="shared" si="22"/>
        <v>0.45046463060979935</v>
      </c>
      <c r="Q49" s="234">
        <v>43</v>
      </c>
      <c r="R49" s="230">
        <f t="shared" si="23"/>
        <v>0.30496453900709219</v>
      </c>
      <c r="S49" s="243"/>
      <c r="T49" s="183"/>
    </row>
    <row r="50" spans="1:20" x14ac:dyDescent="0.25">
      <c r="A50" s="258" t="s">
        <v>50</v>
      </c>
      <c r="B50" s="259"/>
      <c r="C50" s="183"/>
      <c r="D50" s="183"/>
      <c r="E50" s="231">
        <v>2127</v>
      </c>
      <c r="F50" s="251">
        <v>290</v>
      </c>
      <c r="G50" s="229">
        <f t="shared" si="20"/>
        <v>2417</v>
      </c>
      <c r="H50" s="230">
        <f t="shared" si="21"/>
        <v>4.8523418522013209E-2</v>
      </c>
      <c r="I50" s="245"/>
      <c r="J50" s="247"/>
      <c r="K50" s="189"/>
      <c r="L50" s="189"/>
      <c r="M50" s="245"/>
      <c r="N50" s="247"/>
      <c r="O50" s="229">
        <v>4396729.1000000006</v>
      </c>
      <c r="P50" s="230">
        <f t="shared" si="22"/>
        <v>2.2341800239549573E-2</v>
      </c>
      <c r="Q50" s="234">
        <v>3</v>
      </c>
      <c r="R50" s="230">
        <f t="shared" si="23"/>
        <v>2.1276595744680851E-2</v>
      </c>
      <c r="S50" s="243"/>
      <c r="T50" s="183"/>
    </row>
    <row r="51" spans="1:20" x14ac:dyDescent="0.25">
      <c r="A51" s="258" t="s">
        <v>51</v>
      </c>
      <c r="B51" s="259"/>
      <c r="C51" s="183"/>
      <c r="D51" s="183"/>
      <c r="E51" s="231">
        <v>2394</v>
      </c>
      <c r="F51" s="251">
        <v>1996</v>
      </c>
      <c r="G51" s="229">
        <f t="shared" si="20"/>
        <v>4390</v>
      </c>
      <c r="H51" s="230">
        <f t="shared" si="21"/>
        <v>8.8133143281604459E-2</v>
      </c>
      <c r="I51" s="245"/>
      <c r="J51" s="247"/>
      <c r="K51" s="189"/>
      <c r="L51" s="189"/>
      <c r="M51" s="245"/>
      <c r="N51" s="247"/>
      <c r="O51" s="229">
        <v>8862723.5</v>
      </c>
      <c r="P51" s="230">
        <f t="shared" si="22"/>
        <v>4.503556928612263E-2</v>
      </c>
      <c r="Q51" s="234">
        <v>7.5</v>
      </c>
      <c r="R51" s="230">
        <f t="shared" si="23"/>
        <v>5.3191489361702128E-2</v>
      </c>
      <c r="S51" s="243"/>
      <c r="T51" s="183"/>
    </row>
    <row r="52" spans="1:20" x14ac:dyDescent="0.25">
      <c r="A52" s="258" t="s">
        <v>52</v>
      </c>
      <c r="B52" s="259"/>
      <c r="C52" s="183"/>
      <c r="D52" s="183"/>
      <c r="E52" s="231">
        <v>1190</v>
      </c>
      <c r="F52" s="251">
        <v>254</v>
      </c>
      <c r="G52" s="229">
        <f t="shared" si="20"/>
        <v>1444</v>
      </c>
      <c r="H52" s="230">
        <f t="shared" si="21"/>
        <v>2.8989580614723655E-2</v>
      </c>
      <c r="I52" s="245"/>
      <c r="J52" s="247"/>
      <c r="K52" s="189"/>
      <c r="L52" s="189"/>
      <c r="M52" s="245"/>
      <c r="N52" s="247"/>
      <c r="O52" s="229">
        <v>17945821.48</v>
      </c>
      <c r="P52" s="230">
        <f t="shared" si="22"/>
        <v>9.1190962536395026E-2</v>
      </c>
      <c r="Q52" s="234">
        <v>2</v>
      </c>
      <c r="R52" s="230">
        <f t="shared" si="23"/>
        <v>1.4184397163120567E-2</v>
      </c>
      <c r="S52" s="243"/>
      <c r="T52" s="183"/>
    </row>
    <row r="53" spans="1:20" x14ac:dyDescent="0.25">
      <c r="A53" s="235"/>
      <c r="B53" s="236"/>
      <c r="C53" s="183"/>
      <c r="D53" s="183"/>
      <c r="E53" s="239"/>
      <c r="F53" s="252"/>
      <c r="G53" s="237"/>
      <c r="H53" s="238"/>
      <c r="I53" s="245"/>
      <c r="J53" s="247"/>
      <c r="K53" s="189"/>
      <c r="L53" s="189"/>
      <c r="M53" s="245"/>
      <c r="N53" s="247"/>
      <c r="O53" s="237"/>
      <c r="P53" s="238"/>
      <c r="Q53" s="242"/>
      <c r="R53" s="238"/>
      <c r="S53" s="243"/>
      <c r="T53" s="183"/>
    </row>
    <row r="54" spans="1:20" x14ac:dyDescent="0.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9"/>
      <c r="L54" s="189"/>
      <c r="M54" s="183"/>
      <c r="N54" s="183"/>
      <c r="O54" s="253"/>
      <c r="P54" s="183"/>
      <c r="Q54" s="183"/>
      <c r="R54" s="183"/>
      <c r="S54" s="243"/>
      <c r="T54" s="183"/>
    </row>
    <row r="55" spans="1:20" x14ac:dyDescent="0.25">
      <c r="A55" s="220" t="s">
        <v>17</v>
      </c>
      <c r="B55" s="221" t="s">
        <v>86</v>
      </c>
      <c r="C55" s="245"/>
      <c r="D55" s="246"/>
      <c r="E55" s="181"/>
      <c r="F55" s="181"/>
      <c r="G55" s="181"/>
      <c r="H55" s="181"/>
      <c r="I55" s="245"/>
      <c r="J55" s="246"/>
      <c r="K55" s="246"/>
      <c r="L55" s="246"/>
      <c r="M55" s="245"/>
      <c r="N55" s="246"/>
      <c r="O55" s="222">
        <f>SUM(O56:O65)</f>
        <v>195270003.89000005</v>
      </c>
      <c r="P55" s="223">
        <f>SUM(P56:P65)</f>
        <v>0.99999999999999989</v>
      </c>
      <c r="Q55" s="189"/>
      <c r="R55" s="189"/>
      <c r="S55" s="182"/>
      <c r="T55" s="183"/>
    </row>
    <row r="56" spans="1:20" x14ac:dyDescent="0.25">
      <c r="A56" s="256"/>
      <c r="B56" s="257"/>
      <c r="C56" s="245"/>
      <c r="D56" s="247"/>
      <c r="E56" s="181"/>
      <c r="F56" s="181"/>
      <c r="G56" s="181"/>
      <c r="H56" s="181"/>
      <c r="I56" s="245"/>
      <c r="J56" s="247"/>
      <c r="K56" s="247"/>
      <c r="L56" s="247"/>
      <c r="M56" s="245"/>
      <c r="N56" s="247"/>
      <c r="O56" s="229"/>
      <c r="P56" s="230"/>
      <c r="Q56" s="189"/>
      <c r="R56" s="189"/>
      <c r="S56" s="182"/>
      <c r="T56" s="183"/>
    </row>
    <row r="57" spans="1:20" x14ac:dyDescent="0.25">
      <c r="A57" s="258" t="s">
        <v>45</v>
      </c>
      <c r="B57" s="259"/>
      <c r="C57" s="245"/>
      <c r="D57" s="247"/>
      <c r="E57" s="181"/>
      <c r="F57" s="181"/>
      <c r="G57" s="181"/>
      <c r="H57" s="181"/>
      <c r="I57" s="245"/>
      <c r="J57" s="247"/>
      <c r="K57" s="247"/>
      <c r="L57" s="247"/>
      <c r="M57" s="245"/>
      <c r="N57" s="247"/>
      <c r="O57" s="229">
        <v>5328718.3099999996</v>
      </c>
      <c r="P57" s="230">
        <f t="shared" ref="P57:P64" si="24">O57/$O$55</f>
        <v>2.7288975284712882E-2</v>
      </c>
      <c r="Q57" s="189"/>
      <c r="R57" s="189"/>
      <c r="S57" s="182"/>
      <c r="T57" s="183"/>
    </row>
    <row r="58" spans="1:20" x14ac:dyDescent="0.25">
      <c r="A58" s="258" t="s">
        <v>46</v>
      </c>
      <c r="B58" s="259"/>
      <c r="C58" s="245"/>
      <c r="D58" s="247"/>
      <c r="E58" s="181"/>
      <c r="F58" s="181"/>
      <c r="G58" s="181"/>
      <c r="H58" s="181"/>
      <c r="I58" s="245"/>
      <c r="J58" s="247"/>
      <c r="K58" s="247"/>
      <c r="L58" s="247"/>
      <c r="M58" s="245"/>
      <c r="N58" s="247"/>
      <c r="O58" s="229">
        <v>11663590.460000001</v>
      </c>
      <c r="P58" s="230">
        <f t="shared" si="24"/>
        <v>5.9730579339622288E-2</v>
      </c>
      <c r="Q58" s="189"/>
      <c r="R58" s="189"/>
      <c r="S58" s="182"/>
      <c r="T58" s="183"/>
    </row>
    <row r="59" spans="1:20" x14ac:dyDescent="0.25">
      <c r="A59" s="258" t="s">
        <v>47</v>
      </c>
      <c r="B59" s="259"/>
      <c r="C59" s="245"/>
      <c r="D59" s="247"/>
      <c r="E59" s="181"/>
      <c r="F59" s="181"/>
      <c r="G59" s="181"/>
      <c r="H59" s="181"/>
      <c r="I59" s="245"/>
      <c r="J59" s="247"/>
      <c r="K59" s="247"/>
      <c r="L59" s="247"/>
      <c r="M59" s="245"/>
      <c r="N59" s="247"/>
      <c r="O59" s="229">
        <v>50262998.720000006</v>
      </c>
      <c r="P59" s="230">
        <f t="shared" si="24"/>
        <v>0.25740255911662846</v>
      </c>
      <c r="Q59" s="189"/>
      <c r="R59" s="189"/>
      <c r="S59" s="182"/>
      <c r="T59" s="183"/>
    </row>
    <row r="60" spans="1:20" x14ac:dyDescent="0.25">
      <c r="A60" s="258" t="s">
        <v>48</v>
      </c>
      <c r="B60" s="259"/>
      <c r="C60" s="245"/>
      <c r="D60" s="247"/>
      <c r="E60" s="181"/>
      <c r="F60" s="181"/>
      <c r="G60" s="181"/>
      <c r="H60" s="181"/>
      <c r="I60" s="245"/>
      <c r="J60" s="247"/>
      <c r="K60" s="247"/>
      <c r="L60" s="247"/>
      <c r="M60" s="245"/>
      <c r="N60" s="247"/>
      <c r="O60" s="229">
        <v>6671228.4000000004</v>
      </c>
      <c r="P60" s="230">
        <f t="shared" si="24"/>
        <v>3.4164122840690127E-2</v>
      </c>
      <c r="Q60" s="189"/>
      <c r="R60" s="189"/>
      <c r="S60" s="182"/>
      <c r="T60" s="183"/>
    </row>
    <row r="61" spans="1:20" x14ac:dyDescent="0.25">
      <c r="A61" s="258" t="s">
        <v>49</v>
      </c>
      <c r="B61" s="259"/>
      <c r="C61" s="245"/>
      <c r="D61" s="247"/>
      <c r="E61" s="181"/>
      <c r="F61" s="181"/>
      <c r="G61" s="181"/>
      <c r="H61" s="181"/>
      <c r="I61" s="245"/>
      <c r="J61" s="247"/>
      <c r="K61" s="247"/>
      <c r="L61" s="247"/>
      <c r="M61" s="245"/>
      <c r="N61" s="247"/>
      <c r="O61" s="229">
        <v>88952996</v>
      </c>
      <c r="P61" s="230">
        <f t="shared" si="24"/>
        <v>0.45553845561507345</v>
      </c>
      <c r="Q61" s="189"/>
      <c r="R61" s="189"/>
      <c r="S61" s="182"/>
      <c r="T61" s="183"/>
    </row>
    <row r="62" spans="1:20" x14ac:dyDescent="0.25">
      <c r="A62" s="258" t="s">
        <v>50</v>
      </c>
      <c r="B62" s="259"/>
      <c r="C62" s="245"/>
      <c r="D62" s="247"/>
      <c r="E62" s="181"/>
      <c r="F62" s="181"/>
      <c r="G62" s="181"/>
      <c r="H62" s="181"/>
      <c r="I62" s="245"/>
      <c r="J62" s="247"/>
      <c r="K62" s="247"/>
      <c r="L62" s="247"/>
      <c r="M62" s="245"/>
      <c r="N62" s="247"/>
      <c r="O62" s="229">
        <v>3646016.11</v>
      </c>
      <c r="P62" s="230">
        <f t="shared" si="24"/>
        <v>1.867166506563846E-2</v>
      </c>
      <c r="Q62" s="189"/>
      <c r="R62" s="189"/>
      <c r="S62" s="182"/>
      <c r="T62" s="183"/>
    </row>
    <row r="63" spans="1:20" x14ac:dyDescent="0.25">
      <c r="A63" s="258" t="s">
        <v>51</v>
      </c>
      <c r="B63" s="259"/>
      <c r="C63" s="245"/>
      <c r="D63" s="247"/>
      <c r="E63" s="181"/>
      <c r="F63" s="181"/>
      <c r="G63" s="181"/>
      <c r="H63" s="181"/>
      <c r="I63" s="245"/>
      <c r="J63" s="247"/>
      <c r="K63" s="247"/>
      <c r="L63" s="247"/>
      <c r="M63" s="245"/>
      <c r="N63" s="247"/>
      <c r="O63" s="229">
        <v>8700338.0199999996</v>
      </c>
      <c r="P63" s="230">
        <f t="shared" si="24"/>
        <v>4.4555425035486221E-2</v>
      </c>
      <c r="Q63" s="189"/>
      <c r="R63" s="189"/>
      <c r="S63" s="182"/>
      <c r="T63" s="183"/>
    </row>
    <row r="64" spans="1:20" x14ac:dyDescent="0.25">
      <c r="A64" s="258" t="s">
        <v>52</v>
      </c>
      <c r="B64" s="259"/>
      <c r="C64" s="245"/>
      <c r="D64" s="247"/>
      <c r="E64" s="181"/>
      <c r="F64" s="181"/>
      <c r="G64" s="181"/>
      <c r="H64" s="181"/>
      <c r="I64" s="245"/>
      <c r="J64" s="247"/>
      <c r="K64" s="247"/>
      <c r="L64" s="247"/>
      <c r="M64" s="245"/>
      <c r="N64" s="247"/>
      <c r="O64" s="229">
        <v>20044117.870000001</v>
      </c>
      <c r="P64" s="230">
        <f t="shared" si="24"/>
        <v>0.10264821770214795</v>
      </c>
      <c r="Q64" s="189"/>
      <c r="R64" s="189"/>
      <c r="S64" s="182"/>
      <c r="T64" s="183"/>
    </row>
    <row r="65" spans="1:20" x14ac:dyDescent="0.25">
      <c r="A65" s="235"/>
      <c r="B65" s="236"/>
      <c r="C65" s="245"/>
      <c r="D65" s="247"/>
      <c r="E65" s="181"/>
      <c r="F65" s="181"/>
      <c r="G65" s="181"/>
      <c r="H65" s="181"/>
      <c r="I65" s="245"/>
      <c r="J65" s="247"/>
      <c r="K65" s="247"/>
      <c r="L65" s="247"/>
      <c r="M65" s="245"/>
      <c r="N65" s="247"/>
      <c r="O65" s="237"/>
      <c r="P65" s="238"/>
      <c r="Q65" s="189"/>
      <c r="R65" s="189"/>
      <c r="S65" s="182"/>
      <c r="T65" s="183"/>
    </row>
  </sheetData>
  <mergeCells count="13">
    <mergeCell ref="S32:S35"/>
    <mergeCell ref="O4:P5"/>
    <mergeCell ref="Q4:R4"/>
    <mergeCell ref="S4:S5"/>
    <mergeCell ref="T4:T5"/>
    <mergeCell ref="I4:J5"/>
    <mergeCell ref="K4:L5"/>
    <mergeCell ref="M4:N5"/>
    <mergeCell ref="A6:B6"/>
    <mergeCell ref="A7:B7"/>
    <mergeCell ref="A4:B5"/>
    <mergeCell ref="C4:D5"/>
    <mergeCell ref="E4:H4"/>
  </mergeCells>
  <hyperlinks>
    <hyperlink ref="K2" r:id="rId1" tooltip="Pravidla MŠMT 2018"/>
  </hyperlinks>
  <pageMargins left="0.7" right="0.7" top="0.78740157499999996" bottom="0.78740157499999996" header="0.3" footer="0.3"/>
  <pageSetup paperSize="8" scale="7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90" zoomScaleNormal="90" workbookViewId="0">
      <selection activeCell="H13" sqref="H13"/>
    </sheetView>
  </sheetViews>
  <sheetFormatPr defaultColWidth="9.140625" defaultRowHeight="15" x14ac:dyDescent="0.25"/>
  <cols>
    <col min="1" max="1" width="54.28515625" style="174" customWidth="1"/>
    <col min="2" max="2" width="17.28515625" style="174" bestFit="1" customWidth="1"/>
    <col min="3" max="3" width="17.7109375" style="174" customWidth="1"/>
    <col min="4" max="4" width="14" style="174" customWidth="1"/>
    <col min="5" max="5" width="19.5703125" style="174" bestFit="1" customWidth="1"/>
    <col min="6" max="7" width="16.140625" style="174" customWidth="1"/>
    <col min="8" max="8" width="20.140625" style="174" customWidth="1"/>
    <col min="9" max="16384" width="9.140625" style="174"/>
  </cols>
  <sheetData>
    <row r="1" spans="1:8" s="5" customFormat="1" ht="15.75" x14ac:dyDescent="0.25">
      <c r="A1" s="263" t="s">
        <v>425</v>
      </c>
    </row>
    <row r="2" spans="1:8" x14ac:dyDescent="0.25">
      <c r="A2" s="265"/>
      <c r="B2" s="291"/>
      <c r="C2" s="291"/>
    </row>
    <row r="3" spans="1:8" x14ac:dyDescent="0.25">
      <c r="A3" s="174" t="s">
        <v>62</v>
      </c>
      <c r="B3" s="264">
        <v>447403200.15896094</v>
      </c>
      <c r="C3" s="265" t="s">
        <v>20</v>
      </c>
    </row>
    <row r="4" spans="1:8" x14ac:dyDescent="0.25">
      <c r="A4" s="174" t="s">
        <v>19</v>
      </c>
      <c r="B4" s="264">
        <v>462534369.62351847</v>
      </c>
      <c r="C4" s="265" t="s">
        <v>20</v>
      </c>
      <c r="D4" s="266"/>
      <c r="G4" s="267"/>
    </row>
    <row r="5" spans="1:8" hidden="1" x14ac:dyDescent="0.25">
      <c r="A5" s="291" t="s">
        <v>22</v>
      </c>
      <c r="B5" s="292" t="e">
        <f>SUM(#REF!)+#REF!+#REF!</f>
        <v>#REF!</v>
      </c>
      <c r="C5" s="292" t="e">
        <f>SUM(#REF!)+#REF!+#REF!</f>
        <v>#REF!</v>
      </c>
      <c r="D5" s="293"/>
    </row>
    <row r="6" spans="1:8" hidden="1" x14ac:dyDescent="0.25">
      <c r="A6" s="291" t="s">
        <v>23</v>
      </c>
      <c r="B6" s="294"/>
      <c r="C6" s="292" t="e">
        <f>#REF!-SUM(#REF!)</f>
        <v>#REF!</v>
      </c>
      <c r="D6" s="295" t="e">
        <f>C5-#REF!-#REF!</f>
        <v>#REF!</v>
      </c>
    </row>
    <row r="7" spans="1:8" hidden="1" x14ac:dyDescent="0.25">
      <c r="A7" s="291" t="s">
        <v>24</v>
      </c>
      <c r="B7" s="292" t="e">
        <f>#REF!+#REF!</f>
        <v>#REF!</v>
      </c>
      <c r="C7" s="292" t="e">
        <f>#REF!+#REF!</f>
        <v>#REF!</v>
      </c>
      <c r="D7" s="295" t="e">
        <f>#REF!+#REF!</f>
        <v>#REF!</v>
      </c>
    </row>
    <row r="8" spans="1:8" hidden="1" x14ac:dyDescent="0.25">
      <c r="A8" s="291" t="s">
        <v>25</v>
      </c>
      <c r="B8" s="291"/>
      <c r="C8" s="291"/>
    </row>
    <row r="9" spans="1:8" hidden="1" x14ac:dyDescent="0.25">
      <c r="A9" s="291" t="s">
        <v>26</v>
      </c>
      <c r="B9" s="291"/>
      <c r="C9" s="291"/>
    </row>
    <row r="10" spans="1:8" hidden="1" x14ac:dyDescent="0.25">
      <c r="A10" s="291" t="s">
        <v>44</v>
      </c>
    </row>
    <row r="11" spans="1:8" ht="15.75" thickBot="1" x14ac:dyDescent="0.3"/>
    <row r="12" spans="1:8" ht="60.75" thickBot="1" x14ac:dyDescent="0.3">
      <c r="A12" s="446" t="s">
        <v>53</v>
      </c>
      <c r="B12" s="447" t="s">
        <v>87</v>
      </c>
      <c r="C12" s="447" t="s">
        <v>88</v>
      </c>
      <c r="D12" s="448" t="s">
        <v>89</v>
      </c>
      <c r="E12" s="448" t="s">
        <v>436</v>
      </c>
      <c r="F12" s="449" t="s">
        <v>90</v>
      </c>
      <c r="G12" s="448" t="s">
        <v>437</v>
      </c>
      <c r="H12" s="448" t="s">
        <v>438</v>
      </c>
    </row>
    <row r="13" spans="1:8" s="275" customFormat="1" x14ac:dyDescent="0.25">
      <c r="A13" s="268" t="s">
        <v>55</v>
      </c>
      <c r="B13" s="269">
        <v>0.11380262757129442</v>
      </c>
      <c r="C13" s="270">
        <v>0.11380262757129442</v>
      </c>
      <c r="D13" s="271">
        <v>0.11380262757129442</v>
      </c>
      <c r="E13" s="272">
        <v>50915659.761895522</v>
      </c>
      <c r="F13" s="273">
        <f t="shared" ref="F13:F20" si="0">D13*$B$4</f>
        <v>52637626.605188705</v>
      </c>
      <c r="G13" s="272">
        <f>F13-E13</f>
        <v>1721966.8432931826</v>
      </c>
      <c r="H13" s="274">
        <f>G13/E13</f>
        <v>3.3819984879816391E-2</v>
      </c>
    </row>
    <row r="14" spans="1:8" s="275" customFormat="1" x14ac:dyDescent="0.25">
      <c r="A14" s="276" t="s">
        <v>54</v>
      </c>
      <c r="B14" s="277">
        <v>6.5000000640898933E-2</v>
      </c>
      <c r="C14" s="278">
        <v>6.5000000640898933E-2</v>
      </c>
      <c r="D14" s="279">
        <v>6.5000000640898933E-2</v>
      </c>
      <c r="E14" s="280">
        <v>29081208.297072694</v>
      </c>
      <c r="F14" s="281">
        <f t="shared" si="0"/>
        <v>30064734.321966484</v>
      </c>
      <c r="G14" s="280">
        <f t="shared" ref="G14:G20" si="1">F14-E14</f>
        <v>983526.02489379048</v>
      </c>
      <c r="H14" s="282">
        <f t="shared" ref="H14:H20" si="2">G14/E14</f>
        <v>3.3819984879816425E-2</v>
      </c>
    </row>
    <row r="15" spans="1:8" s="275" customFormat="1" x14ac:dyDescent="0.25">
      <c r="A15" s="283" t="s">
        <v>56</v>
      </c>
      <c r="B15" s="277">
        <v>4.5061445514102058E-2</v>
      </c>
      <c r="C15" s="278">
        <v>4.5061445514102058E-2</v>
      </c>
      <c r="D15" s="279">
        <v>4.5061445514102058E-2</v>
      </c>
      <c r="E15" s="280">
        <v>20160634.926797915</v>
      </c>
      <c r="F15" s="281">
        <f t="shared" si="0"/>
        <v>20842467.29518972</v>
      </c>
      <c r="G15" s="280">
        <f t="shared" si="1"/>
        <v>681832.3683918044</v>
      </c>
      <c r="H15" s="282">
        <f t="shared" si="2"/>
        <v>3.3819984879816425E-2</v>
      </c>
    </row>
    <row r="16" spans="1:8" s="275" customFormat="1" x14ac:dyDescent="0.25">
      <c r="A16" s="283" t="s">
        <v>57</v>
      </c>
      <c r="B16" s="277">
        <v>0.21291782508386431</v>
      </c>
      <c r="C16" s="278">
        <v>0.21291782508386431</v>
      </c>
      <c r="D16" s="279">
        <v>0.21291782508386431</v>
      </c>
      <c r="E16" s="280">
        <v>95260116.31340678</v>
      </c>
      <c r="F16" s="281">
        <f t="shared" si="0"/>
        <v>98481812.006775752</v>
      </c>
      <c r="G16" s="280">
        <f t="shared" si="1"/>
        <v>3221695.6933689713</v>
      </c>
      <c r="H16" s="282">
        <f t="shared" si="2"/>
        <v>3.3819984879816425E-2</v>
      </c>
    </row>
    <row r="17" spans="1:8" s="275" customFormat="1" x14ac:dyDescent="0.25">
      <c r="A17" s="283" t="s">
        <v>58</v>
      </c>
      <c r="B17" s="277">
        <v>0.16226116705307683</v>
      </c>
      <c r="C17" s="278">
        <v>0.16226116705307683</v>
      </c>
      <c r="D17" s="279">
        <v>0.16226116705307683</v>
      </c>
      <c r="E17" s="280">
        <v>72596165.401074335</v>
      </c>
      <c r="F17" s="281">
        <f t="shared" si="0"/>
        <v>75051366.617271319</v>
      </c>
      <c r="G17" s="280">
        <f t="shared" si="1"/>
        <v>2455201.2161969841</v>
      </c>
      <c r="H17" s="282">
        <f t="shared" si="2"/>
        <v>3.3819984879816391E-2</v>
      </c>
    </row>
    <row r="18" spans="1:8" s="275" customFormat="1" x14ac:dyDescent="0.25">
      <c r="A18" s="283" t="s">
        <v>59</v>
      </c>
      <c r="B18" s="277">
        <v>5.0356914684768599E-2</v>
      </c>
      <c r="C18" s="278">
        <v>5.0356914684768599E-2</v>
      </c>
      <c r="D18" s="279">
        <v>5.0356914684768599E-2</v>
      </c>
      <c r="E18" s="280">
        <v>22529844.780097246</v>
      </c>
      <c r="F18" s="281">
        <f t="shared" si="0"/>
        <v>23291803.789904743</v>
      </c>
      <c r="G18" s="280">
        <f t="shared" si="1"/>
        <v>761959.00980749726</v>
      </c>
      <c r="H18" s="282">
        <f t="shared" si="2"/>
        <v>3.3819984879816307E-2</v>
      </c>
    </row>
    <row r="19" spans="1:8" s="275" customFormat="1" x14ac:dyDescent="0.25">
      <c r="A19" s="276" t="s">
        <v>60</v>
      </c>
      <c r="B19" s="277">
        <v>0.21791354887391218</v>
      </c>
      <c r="C19" s="278">
        <v>0.21791354887391218</v>
      </c>
      <c r="D19" s="279">
        <v>0.21791354887391218</v>
      </c>
      <c r="E19" s="280">
        <v>97495219.124184445</v>
      </c>
      <c r="F19" s="281">
        <f t="shared" si="0"/>
        <v>100792505.96081875</v>
      </c>
      <c r="G19" s="280">
        <f t="shared" si="1"/>
        <v>3297286.8366343081</v>
      </c>
      <c r="H19" s="282">
        <f t="shared" si="2"/>
        <v>3.3819984879816432E-2</v>
      </c>
    </row>
    <row r="20" spans="1:8" s="275" customFormat="1" x14ac:dyDescent="0.25">
      <c r="A20" s="276" t="s">
        <v>61</v>
      </c>
      <c r="B20" s="277">
        <v>0.13268647057808264</v>
      </c>
      <c r="C20" s="278">
        <v>0.13268647057808264</v>
      </c>
      <c r="D20" s="279">
        <v>0.13268647057808264</v>
      </c>
      <c r="E20" s="280">
        <v>59364351.55443199</v>
      </c>
      <c r="F20" s="281">
        <f t="shared" si="0"/>
        <v>61372053.02640298</v>
      </c>
      <c r="G20" s="280">
        <f t="shared" si="1"/>
        <v>2007701.4719709903</v>
      </c>
      <c r="H20" s="282">
        <f t="shared" si="2"/>
        <v>3.3819984879816321E-2</v>
      </c>
    </row>
    <row r="21" spans="1:8" s="275" customFormat="1" ht="15.75" thickBot="1" x14ac:dyDescent="0.3">
      <c r="A21" s="284"/>
      <c r="B21" s="285"/>
      <c r="C21" s="286"/>
      <c r="D21" s="287"/>
      <c r="E21" s="288"/>
      <c r="F21" s="289"/>
      <c r="G21" s="288"/>
      <c r="H21" s="290"/>
    </row>
    <row r="22" spans="1:8" s="275" customFormat="1" ht="15.75" thickBot="1" x14ac:dyDescent="0.3">
      <c r="A22" s="450" t="s">
        <v>12</v>
      </c>
      <c r="B22" s="451">
        <f t="shared" ref="B22:G22" si="3">SUM(B13:B21)</f>
        <v>0.99999999999999978</v>
      </c>
      <c r="C22" s="452">
        <f t="shared" si="3"/>
        <v>0.99999999999999978</v>
      </c>
      <c r="D22" s="453">
        <f t="shared" si="3"/>
        <v>0.99999999999999978</v>
      </c>
      <c r="E22" s="454">
        <f t="shared" si="3"/>
        <v>447403200.15896088</v>
      </c>
      <c r="F22" s="455">
        <f t="shared" si="3"/>
        <v>462534369.62351847</v>
      </c>
      <c r="G22" s="456">
        <f t="shared" si="3"/>
        <v>15131169.464557528</v>
      </c>
      <c r="H22" s="457">
        <f t="shared" ref="H22" si="4">G22/E22</f>
        <v>3.3819984879816405E-2</v>
      </c>
    </row>
  </sheetData>
  <pageMargins left="0.7" right="0.7" top="0.78740157499999996" bottom="0.78740157499999996" header="0.3" footer="0.3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/>
  </sheetViews>
  <sheetFormatPr defaultColWidth="9.140625" defaultRowHeight="15" x14ac:dyDescent="0.25"/>
  <cols>
    <col min="1" max="1" width="23.5703125" style="174" customWidth="1"/>
    <col min="2" max="2" width="14.140625" style="174" customWidth="1"/>
    <col min="3" max="3" width="16.7109375" style="174" customWidth="1"/>
    <col min="4" max="4" width="15.42578125" style="174" customWidth="1"/>
    <col min="5" max="5" width="17.7109375" style="174" customWidth="1"/>
    <col min="6" max="7" width="14.5703125" style="174" customWidth="1"/>
    <col min="8" max="9" width="9.140625" style="174"/>
    <col min="10" max="10" width="67.140625" style="174" customWidth="1"/>
    <col min="11" max="11" width="16.5703125" style="174" customWidth="1"/>
    <col min="12" max="12" width="16.7109375" style="174" customWidth="1"/>
    <col min="13" max="13" width="15.42578125" style="174" customWidth="1"/>
    <col min="14" max="14" width="17.7109375" style="174" customWidth="1"/>
    <col min="15" max="16" width="14.5703125" style="174" customWidth="1"/>
    <col min="17" max="16384" width="9.140625" style="174"/>
  </cols>
  <sheetData>
    <row r="1" spans="1:10" s="5" customFormat="1" ht="15.75" x14ac:dyDescent="0.25">
      <c r="A1" s="172" t="s">
        <v>426</v>
      </c>
    </row>
    <row r="2" spans="1:10" s="5" customFormat="1" ht="15.75" x14ac:dyDescent="0.25">
      <c r="A2" s="172" t="s">
        <v>398</v>
      </c>
    </row>
    <row r="4" spans="1:10" s="275" customFormat="1" x14ac:dyDescent="0.25">
      <c r="A4" s="296" t="s">
        <v>27</v>
      </c>
      <c r="B4" s="297">
        <v>97219220.328802258</v>
      </c>
      <c r="C4" s="298" t="s">
        <v>20</v>
      </c>
      <c r="E4" s="298"/>
    </row>
    <row r="5" spans="1:10" s="275" customFormat="1" x14ac:dyDescent="0.25">
      <c r="A5" s="296" t="s">
        <v>28</v>
      </c>
      <c r="B5" s="297">
        <v>46422123.632440597</v>
      </c>
      <c r="C5" s="299"/>
      <c r="D5" s="299"/>
      <c r="E5" s="299"/>
    </row>
    <row r="6" spans="1:10" ht="15.75" thickBot="1" x14ac:dyDescent="0.3">
      <c r="C6" s="267" t="s">
        <v>0</v>
      </c>
      <c r="D6" s="267" t="s">
        <v>21</v>
      </c>
      <c r="E6" s="267" t="s">
        <v>0</v>
      </c>
      <c r="F6" s="267" t="s">
        <v>0</v>
      </c>
      <c r="G6" s="267" t="s">
        <v>21</v>
      </c>
    </row>
    <row r="7" spans="1:10" ht="90" x14ac:dyDescent="0.25">
      <c r="A7" s="325" t="s">
        <v>53</v>
      </c>
      <c r="B7" s="492" t="s">
        <v>29</v>
      </c>
      <c r="C7" s="493" t="s">
        <v>430</v>
      </c>
      <c r="D7" s="493" t="s">
        <v>91</v>
      </c>
      <c r="E7" s="493" t="s">
        <v>431</v>
      </c>
      <c r="F7" s="493" t="s">
        <v>432</v>
      </c>
      <c r="G7" s="494" t="s">
        <v>433</v>
      </c>
      <c r="I7" s="293"/>
      <c r="J7" s="293"/>
    </row>
    <row r="8" spans="1:10" ht="15.75" thickBot="1" x14ac:dyDescent="0.3">
      <c r="A8" s="326"/>
      <c r="B8" s="300" t="s">
        <v>30</v>
      </c>
      <c r="C8" s="301" t="s">
        <v>31</v>
      </c>
      <c r="D8" s="301" t="s">
        <v>32</v>
      </c>
      <c r="E8" s="301" t="s">
        <v>33</v>
      </c>
      <c r="F8" s="302" t="s">
        <v>34</v>
      </c>
      <c r="G8" s="303" t="s">
        <v>35</v>
      </c>
      <c r="I8" s="293"/>
      <c r="J8" s="293"/>
    </row>
    <row r="9" spans="1:10" s="275" customFormat="1" x14ac:dyDescent="0.25">
      <c r="A9" s="328"/>
      <c r="B9" s="304"/>
      <c r="C9" s="305"/>
      <c r="D9" s="306"/>
      <c r="E9" s="273"/>
      <c r="F9" s="307"/>
      <c r="G9" s="308"/>
    </row>
    <row r="10" spans="1:10" s="275" customFormat="1" x14ac:dyDescent="0.25">
      <c r="A10" s="329" t="s">
        <v>45</v>
      </c>
      <c r="B10" s="309">
        <v>0.11380262757129442</v>
      </c>
      <c r="C10" s="310">
        <f t="shared" ref="C10:C17" si="0">+B10*$B$5</f>
        <v>5282959.6468112227</v>
      </c>
      <c r="D10" s="311">
        <f>'1.1 K - JU'!S9</f>
        <v>0.12412779538953572</v>
      </c>
      <c r="E10" s="281">
        <f t="shared" ref="E10:E17" si="1">D10*$B$4</f>
        <v>12067607.488903759</v>
      </c>
      <c r="F10" s="312">
        <f t="shared" ref="F10:F17" si="2">E10-C10</f>
        <v>6784647.8420925364</v>
      </c>
      <c r="G10" s="313">
        <f t="shared" ref="G10:G19" si="3">+F10/C10</f>
        <v>1.2842513090531986</v>
      </c>
    </row>
    <row r="11" spans="1:10" s="275" customFormat="1" x14ac:dyDescent="0.25">
      <c r="A11" s="330" t="s">
        <v>46</v>
      </c>
      <c r="B11" s="309">
        <v>6.5000000640898933E-2</v>
      </c>
      <c r="C11" s="310">
        <f t="shared" si="0"/>
        <v>3017438.0658605285</v>
      </c>
      <c r="D11" s="311">
        <f>'1.1 K - JU'!S10</f>
        <v>0.10532992645125845</v>
      </c>
      <c r="E11" s="281">
        <f t="shared" si="1"/>
        <v>10240093.326881433</v>
      </c>
      <c r="F11" s="312">
        <f t="shared" si="2"/>
        <v>7222655.2610209044</v>
      </c>
      <c r="G11" s="313">
        <f t="shared" si="3"/>
        <v>2.3936382796844948</v>
      </c>
    </row>
    <row r="12" spans="1:10" s="275" customFormat="1" x14ac:dyDescent="0.25">
      <c r="A12" s="330" t="s">
        <v>47</v>
      </c>
      <c r="B12" s="309">
        <v>4.5061445514102058E-2</v>
      </c>
      <c r="C12" s="310">
        <f t="shared" si="0"/>
        <v>2091847.9947121316</v>
      </c>
      <c r="D12" s="311">
        <f>'1.1 K - JU'!S11</f>
        <v>0.13905881912338641</v>
      </c>
      <c r="E12" s="281">
        <f t="shared" si="1"/>
        <v>13519189.975019565</v>
      </c>
      <c r="F12" s="312">
        <f t="shared" si="2"/>
        <v>11427341.980307434</v>
      </c>
      <c r="G12" s="313">
        <f t="shared" si="3"/>
        <v>5.462797492549166</v>
      </c>
    </row>
    <row r="13" spans="1:10" s="275" customFormat="1" x14ac:dyDescent="0.25">
      <c r="A13" s="330" t="s">
        <v>48</v>
      </c>
      <c r="B13" s="309">
        <v>0.21291782508386431</v>
      </c>
      <c r="C13" s="310">
        <f t="shared" si="0"/>
        <v>9884097.5995935109</v>
      </c>
      <c r="D13" s="311">
        <f>'1.1 K - JU'!S12</f>
        <v>0.13251579576549413</v>
      </c>
      <c r="E13" s="281">
        <f t="shared" si="1"/>
        <v>12883082.345572134</v>
      </c>
      <c r="F13" s="312">
        <f t="shared" si="2"/>
        <v>2998984.7459786236</v>
      </c>
      <c r="G13" s="313">
        <f t="shared" si="3"/>
        <v>0.3034151287722977</v>
      </c>
    </row>
    <row r="14" spans="1:10" s="275" customFormat="1" x14ac:dyDescent="0.25">
      <c r="A14" s="330" t="s">
        <v>49</v>
      </c>
      <c r="B14" s="309">
        <v>0.16226116705307683</v>
      </c>
      <c r="C14" s="310">
        <f t="shared" si="0"/>
        <v>7532507.9576820293</v>
      </c>
      <c r="D14" s="311">
        <f>'1.1 K - JU'!S13</f>
        <v>0.26846935411363126</v>
      </c>
      <c r="E14" s="281">
        <f t="shared" si="1"/>
        <v>26100381.289104354</v>
      </c>
      <c r="F14" s="312">
        <f t="shared" si="2"/>
        <v>18567873.331422325</v>
      </c>
      <c r="G14" s="313">
        <f t="shared" si="3"/>
        <v>2.4650320232965539</v>
      </c>
    </row>
    <row r="15" spans="1:10" s="275" customFormat="1" x14ac:dyDescent="0.25">
      <c r="A15" s="330" t="s">
        <v>50</v>
      </c>
      <c r="B15" s="309">
        <v>5.0356914684768599E-2</v>
      </c>
      <c r="C15" s="310">
        <f t="shared" si="0"/>
        <v>2337674.9192445911</v>
      </c>
      <c r="D15" s="311">
        <f>'1.1 K - JU'!S14</f>
        <v>5.2290206399101667E-2</v>
      </c>
      <c r="E15" s="281">
        <f t="shared" si="1"/>
        <v>5083613.0969528109</v>
      </c>
      <c r="F15" s="312">
        <f t="shared" si="2"/>
        <v>2745938.1777082197</v>
      </c>
      <c r="G15" s="313">
        <f t="shared" si="3"/>
        <v>1.1746450094932606</v>
      </c>
    </row>
    <row r="16" spans="1:10" s="275" customFormat="1" x14ac:dyDescent="0.25">
      <c r="A16" s="329" t="s">
        <v>51</v>
      </c>
      <c r="B16" s="309">
        <v>0.21791354887391218</v>
      </c>
      <c r="C16" s="310">
        <f t="shared" si="0"/>
        <v>10116009.707008637</v>
      </c>
      <c r="D16" s="311">
        <f>'1.1 K - JU'!S15</f>
        <v>8.9800423014597675E-2</v>
      </c>
      <c r="E16" s="281">
        <f t="shared" si="1"/>
        <v>8730327.1106758155</v>
      </c>
      <c r="F16" s="312">
        <f t="shared" si="2"/>
        <v>-1385682.596332822</v>
      </c>
      <c r="G16" s="313">
        <f t="shared" si="3"/>
        <v>-0.13697916831503085</v>
      </c>
    </row>
    <row r="17" spans="1:10" s="275" customFormat="1" x14ac:dyDescent="0.25">
      <c r="A17" s="329" t="s">
        <v>52</v>
      </c>
      <c r="B17" s="309">
        <v>0.13268647057808264</v>
      </c>
      <c r="C17" s="310">
        <f t="shared" si="0"/>
        <v>6159587.7415279439</v>
      </c>
      <c r="D17" s="311">
        <f>'1.1 K - JU'!S16</f>
        <v>8.8407679742994641E-2</v>
      </c>
      <c r="E17" s="281">
        <f t="shared" si="1"/>
        <v>8594925.6956923846</v>
      </c>
      <c r="F17" s="312">
        <f t="shared" si="2"/>
        <v>2435337.9541644407</v>
      </c>
      <c r="G17" s="313">
        <f t="shared" si="3"/>
        <v>0.39537353088509331</v>
      </c>
    </row>
    <row r="18" spans="1:10" s="275" customFormat="1" ht="15.75" thickBot="1" x14ac:dyDescent="0.3">
      <c r="A18" s="331"/>
      <c r="B18" s="314"/>
      <c r="C18" s="315"/>
      <c r="D18" s="316"/>
      <c r="E18" s="289"/>
      <c r="F18" s="317"/>
      <c r="G18" s="318"/>
    </row>
    <row r="19" spans="1:10" ht="15.75" thickBot="1" x14ac:dyDescent="0.3">
      <c r="A19" s="327" t="s">
        <v>1</v>
      </c>
      <c r="B19" s="319">
        <f>SUM(B9:B18)</f>
        <v>0.99999999999999978</v>
      </c>
      <c r="C19" s="320">
        <f>SUM(C9:C18)</f>
        <v>46422123.632440597</v>
      </c>
      <c r="D19" s="321">
        <f>SUM(D9:D18)</f>
        <v>1</v>
      </c>
      <c r="E19" s="322">
        <f>SUM(E9:E18)</f>
        <v>97219220.328802258</v>
      </c>
      <c r="F19" s="323">
        <f>SUM(F9:F18)</f>
        <v>50797096.696361668</v>
      </c>
      <c r="G19" s="324">
        <f t="shared" si="3"/>
        <v>1.0942432771615764</v>
      </c>
      <c r="I19" s="293"/>
      <c r="J19" s="293"/>
    </row>
    <row r="21" spans="1:10" x14ac:dyDescent="0.25">
      <c r="A21" s="332" t="s">
        <v>439</v>
      </c>
      <c r="B21" s="261"/>
    </row>
    <row r="37" spans="9:10" x14ac:dyDescent="0.25">
      <c r="I37" s="293"/>
      <c r="J37" s="293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49"/>
  <sheetViews>
    <sheetView topLeftCell="A10" zoomScale="80" zoomScaleNormal="80" workbookViewId="0">
      <pane xSplit="1" topLeftCell="B1" activePane="topRight" state="frozen"/>
      <selection activeCell="A6" sqref="A6"/>
      <selection pane="topRight" activeCell="G24" sqref="G24:G31"/>
    </sheetView>
  </sheetViews>
  <sheetFormatPr defaultColWidth="9.140625" defaultRowHeight="15" x14ac:dyDescent="0.25"/>
  <cols>
    <col min="1" max="1" width="36.85546875" style="174" customWidth="1"/>
    <col min="2" max="2" width="24.28515625" style="174" customWidth="1"/>
    <col min="3" max="3" width="20.42578125" style="174" customWidth="1"/>
    <col min="4" max="4" width="24" style="275" customWidth="1"/>
    <col min="5" max="5" width="23.42578125" style="174" bestFit="1" customWidth="1"/>
    <col min="6" max="6" width="17.85546875" style="174" customWidth="1"/>
    <col min="7" max="8" width="17.85546875" style="275" customWidth="1"/>
    <col min="9" max="9" width="22.140625" style="275" customWidth="1"/>
    <col min="10" max="10" width="12.5703125" style="275" customWidth="1"/>
    <col min="11" max="11" width="20.5703125" style="275" bestFit="1" customWidth="1"/>
    <col min="12" max="12" width="9.140625" style="275" bestFit="1" customWidth="1"/>
    <col min="13" max="13" width="21.5703125" style="275" bestFit="1" customWidth="1"/>
    <col min="14" max="14" width="18" style="275" customWidth="1"/>
    <col min="15" max="15" width="23.28515625" style="275" customWidth="1"/>
    <col min="16" max="16" width="21.28515625" style="275" customWidth="1"/>
    <col min="17" max="17" width="13.28515625" style="174" bestFit="1" customWidth="1"/>
    <col min="18" max="18" width="12.28515625" style="174" bestFit="1" customWidth="1"/>
    <col min="19" max="16384" width="9.140625" style="174"/>
  </cols>
  <sheetData>
    <row r="1" spans="1:17" s="5" customFormat="1" ht="15.75" x14ac:dyDescent="0.25">
      <c r="A1" s="263" t="s">
        <v>428</v>
      </c>
      <c r="D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7" x14ac:dyDescent="0.25">
      <c r="A2" s="265"/>
    </row>
    <row r="3" spans="1:17" x14ac:dyDescent="0.25">
      <c r="H3" s="394" t="s">
        <v>66</v>
      </c>
    </row>
    <row r="4" spans="1:17" x14ac:dyDescent="0.25">
      <c r="A4" s="174" t="s">
        <v>36</v>
      </c>
      <c r="B4" s="413">
        <v>447403200.15896094</v>
      </c>
      <c r="C4" s="2" t="s">
        <v>20</v>
      </c>
      <c r="D4" s="275" t="s">
        <v>37</v>
      </c>
      <c r="F4" s="413">
        <v>462534369.62351847</v>
      </c>
      <c r="G4" s="296" t="s">
        <v>20</v>
      </c>
      <c r="H4" s="414">
        <f>F4-B4</f>
        <v>15131169.464557528</v>
      </c>
      <c r="I4" s="395" t="s">
        <v>20</v>
      </c>
    </row>
    <row r="5" spans="1:17" x14ac:dyDescent="0.25">
      <c r="A5" s="174" t="s">
        <v>38</v>
      </c>
      <c r="B5" s="413">
        <v>46422123.632440597</v>
      </c>
      <c r="C5" s="2" t="s">
        <v>20</v>
      </c>
      <c r="D5" s="275" t="s">
        <v>39</v>
      </c>
      <c r="F5" s="413">
        <v>97219220.328802258</v>
      </c>
      <c r="G5" s="296" t="s">
        <v>20</v>
      </c>
      <c r="H5" s="414">
        <f>F5-B5</f>
        <v>50797096.696361661</v>
      </c>
      <c r="I5" s="395" t="s">
        <v>20</v>
      </c>
      <c r="M5" s="396"/>
      <c r="N5" s="396"/>
      <c r="O5" s="396"/>
    </row>
    <row r="6" spans="1:17" x14ac:dyDescent="0.25">
      <c r="B6" s="413">
        <f>SUM(B4:B5)</f>
        <v>493825323.79140151</v>
      </c>
      <c r="C6" s="2" t="s">
        <v>20</v>
      </c>
      <c r="F6" s="413">
        <f>SUM(F4:F5)</f>
        <v>559753589.95232069</v>
      </c>
      <c r="G6" s="296" t="s">
        <v>20</v>
      </c>
      <c r="H6" s="414">
        <f>F6-B6</f>
        <v>65928266.160919189</v>
      </c>
      <c r="I6" s="358" t="s">
        <v>20</v>
      </c>
    </row>
    <row r="7" spans="1:17" x14ac:dyDescent="0.25">
      <c r="B7" s="397"/>
      <c r="H7" s="398" t="s">
        <v>0</v>
      </c>
      <c r="J7" s="398"/>
      <c r="K7" s="398"/>
      <c r="L7"/>
      <c r="M7"/>
      <c r="N7"/>
      <c r="O7"/>
      <c r="P7" s="399"/>
    </row>
    <row r="8" spans="1:17" ht="75" x14ac:dyDescent="0.25">
      <c r="A8" s="458" t="s">
        <v>53</v>
      </c>
      <c r="B8" s="459" t="s">
        <v>434</v>
      </c>
      <c r="C8" s="459" t="s">
        <v>435</v>
      </c>
      <c r="D8" s="459" t="s">
        <v>63</v>
      </c>
      <c r="E8" s="459" t="s">
        <v>84</v>
      </c>
      <c r="F8" s="459" t="s">
        <v>85</v>
      </c>
      <c r="G8" s="459" t="s">
        <v>40</v>
      </c>
      <c r="H8" s="459" t="s">
        <v>64</v>
      </c>
      <c r="I8" s="459" t="s">
        <v>65</v>
      </c>
      <c r="J8" s="459" t="s">
        <v>42</v>
      </c>
      <c r="K8"/>
      <c r="L8"/>
      <c r="M8"/>
      <c r="N8"/>
      <c r="P8" s="174"/>
    </row>
    <row r="9" spans="1:17" x14ac:dyDescent="0.25">
      <c r="A9" s="400" t="s">
        <v>45</v>
      </c>
      <c r="B9" s="401">
        <v>50915659.761895522</v>
      </c>
      <c r="C9" s="402">
        <v>5282959.6468112227</v>
      </c>
      <c r="D9" s="382">
        <f t="shared" ref="D9:D16" si="0">B9+C9</f>
        <v>56198619.408706747</v>
      </c>
      <c r="E9" s="403">
        <v>52637627</v>
      </c>
      <c r="F9" s="403">
        <f>'1.3 Objemy K JU'!E10</f>
        <v>12067607.488903759</v>
      </c>
      <c r="G9" s="412">
        <f>E9+F9</f>
        <v>64705234.488903761</v>
      </c>
      <c r="H9" s="382">
        <f t="shared" ref="H9:H16" si="1">G9-D9</f>
        <v>8506615.0801970139</v>
      </c>
      <c r="I9" s="404">
        <f t="shared" ref="I9:I18" si="2">H9/D9</f>
        <v>0.15136697608765634</v>
      </c>
      <c r="J9" s="382"/>
      <c r="K9"/>
      <c r="L9"/>
      <c r="M9"/>
      <c r="N9"/>
      <c r="P9" s="174"/>
    </row>
    <row r="10" spans="1:17" x14ac:dyDescent="0.25">
      <c r="A10" s="405" t="s">
        <v>46</v>
      </c>
      <c r="B10" s="401">
        <v>29081208.297072694</v>
      </c>
      <c r="C10" s="402">
        <v>3017438.0658605285</v>
      </c>
      <c r="D10" s="382">
        <f t="shared" si="0"/>
        <v>32098646.362933222</v>
      </c>
      <c r="E10" s="403">
        <v>30064734</v>
      </c>
      <c r="F10" s="403">
        <f>'1.3 Objemy K JU'!E11</f>
        <v>10240093.326881433</v>
      </c>
      <c r="G10" s="412">
        <f t="shared" ref="G10:G16" si="3">E10+F10</f>
        <v>40304827.326881431</v>
      </c>
      <c r="H10" s="382">
        <f t="shared" si="1"/>
        <v>8206180.9639482088</v>
      </c>
      <c r="I10" s="404">
        <f t="shared" si="2"/>
        <v>0.25565504760426649</v>
      </c>
      <c r="J10" s="382"/>
      <c r="K10"/>
      <c r="L10"/>
      <c r="M10"/>
      <c r="N10"/>
      <c r="P10" s="174"/>
    </row>
    <row r="11" spans="1:17" x14ac:dyDescent="0.25">
      <c r="A11" s="400" t="s">
        <v>47</v>
      </c>
      <c r="B11" s="401">
        <v>20160634.926797915</v>
      </c>
      <c r="C11" s="402">
        <v>2091847.9947121316</v>
      </c>
      <c r="D11" s="382">
        <f t="shared" si="0"/>
        <v>22252482.921510048</v>
      </c>
      <c r="E11" s="403">
        <v>20842467</v>
      </c>
      <c r="F11" s="403">
        <f>'1.3 Objemy K JU'!E12</f>
        <v>13519189.975019565</v>
      </c>
      <c r="G11" s="412">
        <f t="shared" si="3"/>
        <v>34361656.975019567</v>
      </c>
      <c r="H11" s="382">
        <f t="shared" si="1"/>
        <v>12109174.053509519</v>
      </c>
      <c r="I11" s="404">
        <f t="shared" si="2"/>
        <v>0.54417181652139845</v>
      </c>
      <c r="J11" s="382"/>
      <c r="K11"/>
      <c r="L11"/>
      <c r="M11"/>
      <c r="N11"/>
      <c r="P11" s="174"/>
      <c r="Q11" s="406"/>
    </row>
    <row r="12" spans="1:17" x14ac:dyDescent="0.25">
      <c r="A12" s="400" t="s">
        <v>48</v>
      </c>
      <c r="B12" s="401">
        <v>95260116.31340678</v>
      </c>
      <c r="C12" s="402">
        <v>9884097.5995935109</v>
      </c>
      <c r="D12" s="382">
        <f t="shared" si="0"/>
        <v>105144213.91300029</v>
      </c>
      <c r="E12" s="403">
        <v>98481812</v>
      </c>
      <c r="F12" s="403">
        <f>'1.3 Objemy K JU'!E13</f>
        <v>12883082.345572134</v>
      </c>
      <c r="G12" s="412">
        <f t="shared" si="3"/>
        <v>111364894.34557213</v>
      </c>
      <c r="H12" s="382">
        <f t="shared" si="1"/>
        <v>6220680.4325718433</v>
      </c>
      <c r="I12" s="404">
        <f t="shared" si="2"/>
        <v>5.9163316753873256E-2</v>
      </c>
      <c r="J12" s="382"/>
      <c r="K12"/>
      <c r="L12"/>
      <c r="M12"/>
      <c r="N12"/>
      <c r="P12" s="174"/>
    </row>
    <row r="13" spans="1:17" x14ac:dyDescent="0.25">
      <c r="A13" s="400" t="s">
        <v>49</v>
      </c>
      <c r="B13" s="401">
        <v>72596165.401074335</v>
      </c>
      <c r="C13" s="402">
        <v>7532507.9576820293</v>
      </c>
      <c r="D13" s="382">
        <f t="shared" si="0"/>
        <v>80128673.358756363</v>
      </c>
      <c r="E13" s="403">
        <v>75051367</v>
      </c>
      <c r="F13" s="403">
        <f>'1.3 Objemy K JU'!E14</f>
        <v>26100381.289104354</v>
      </c>
      <c r="G13" s="412">
        <f t="shared" si="3"/>
        <v>101151748.28910436</v>
      </c>
      <c r="H13" s="382">
        <f t="shared" si="1"/>
        <v>21023074.930347994</v>
      </c>
      <c r="I13" s="404">
        <f t="shared" si="2"/>
        <v>0.26236644198790565</v>
      </c>
      <c r="J13" s="382"/>
      <c r="K13"/>
      <c r="L13"/>
      <c r="M13"/>
      <c r="N13"/>
      <c r="P13" s="174"/>
    </row>
    <row r="14" spans="1:17" x14ac:dyDescent="0.25">
      <c r="A14" s="400" t="s">
        <v>50</v>
      </c>
      <c r="B14" s="401">
        <v>22529844.780097246</v>
      </c>
      <c r="C14" s="402">
        <v>2337674.9192445911</v>
      </c>
      <c r="D14" s="382">
        <f t="shared" si="0"/>
        <v>24867519.699341837</v>
      </c>
      <c r="E14" s="403">
        <v>23291804</v>
      </c>
      <c r="F14" s="403">
        <f>'1.3 Objemy K JU'!E15</f>
        <v>5083613.0969528109</v>
      </c>
      <c r="G14" s="412">
        <f t="shared" si="3"/>
        <v>28375417.096952811</v>
      </c>
      <c r="H14" s="382">
        <f t="shared" si="1"/>
        <v>3507897.3976109736</v>
      </c>
      <c r="I14" s="404">
        <f t="shared" si="2"/>
        <v>0.14106342088084547</v>
      </c>
      <c r="J14" s="382"/>
      <c r="K14"/>
      <c r="L14"/>
      <c r="M14"/>
      <c r="N14"/>
      <c r="P14" s="174"/>
    </row>
    <row r="15" spans="1:17" x14ac:dyDescent="0.25">
      <c r="A15" s="400" t="s">
        <v>51</v>
      </c>
      <c r="B15" s="401">
        <v>97495219.124184445</v>
      </c>
      <c r="C15" s="402">
        <v>10116009.707008637</v>
      </c>
      <c r="D15" s="382">
        <f t="shared" si="0"/>
        <v>107611228.83119309</v>
      </c>
      <c r="E15" s="403">
        <v>100792506</v>
      </c>
      <c r="F15" s="403">
        <f>'1.3 Objemy K JU'!E16</f>
        <v>8730327.1106758155</v>
      </c>
      <c r="G15" s="412">
        <f t="shared" si="3"/>
        <v>109522833.11067581</v>
      </c>
      <c r="H15" s="382">
        <f t="shared" si="1"/>
        <v>1911604.2794827223</v>
      </c>
      <c r="I15" s="404">
        <f t="shared" si="2"/>
        <v>1.7763985229472715E-2</v>
      </c>
      <c r="J15" s="382"/>
      <c r="K15"/>
      <c r="L15"/>
      <c r="M15"/>
      <c r="N15"/>
      <c r="P15" s="174"/>
    </row>
    <row r="16" spans="1:17" x14ac:dyDescent="0.25">
      <c r="A16" s="405" t="s">
        <v>52</v>
      </c>
      <c r="B16" s="401">
        <v>59364351.55443199</v>
      </c>
      <c r="C16" s="402">
        <v>6159587.7415279439</v>
      </c>
      <c r="D16" s="382">
        <f t="shared" si="0"/>
        <v>65523939.295959935</v>
      </c>
      <c r="E16" s="403">
        <v>61372053</v>
      </c>
      <c r="F16" s="403">
        <f>'1.3 Objemy K JU'!E17</f>
        <v>8594925.6956923846</v>
      </c>
      <c r="G16" s="412">
        <f t="shared" si="3"/>
        <v>69966978.69569239</v>
      </c>
      <c r="H16" s="382">
        <f t="shared" si="1"/>
        <v>4443039.3997324556</v>
      </c>
      <c r="I16" s="404">
        <f t="shared" si="2"/>
        <v>6.7807879798924178E-2</v>
      </c>
      <c r="J16" s="382"/>
      <c r="K16"/>
      <c r="L16"/>
      <c r="M16"/>
      <c r="N16"/>
      <c r="P16" s="174"/>
    </row>
    <row r="17" spans="1:16" x14ac:dyDescent="0.25">
      <c r="A17" s="400"/>
      <c r="B17" s="401"/>
      <c r="C17" s="402"/>
      <c r="D17" s="382"/>
      <c r="E17" s="403"/>
      <c r="F17" s="403"/>
      <c r="G17" s="412"/>
      <c r="H17" s="382"/>
      <c r="I17" s="404"/>
      <c r="J17" s="382"/>
      <c r="K17"/>
      <c r="L17"/>
      <c r="M17"/>
      <c r="N17"/>
      <c r="P17" s="174"/>
    </row>
    <row r="18" spans="1:16" x14ac:dyDescent="0.25">
      <c r="A18" s="460" t="s">
        <v>12</v>
      </c>
      <c r="B18" s="461">
        <f t="shared" ref="B18:H18" si="4">SUM(B9:B17)</f>
        <v>447403200.15896088</v>
      </c>
      <c r="C18" s="461">
        <f t="shared" si="4"/>
        <v>46422123.632440597</v>
      </c>
      <c r="D18" s="461">
        <f t="shared" si="4"/>
        <v>493825323.79140157</v>
      </c>
      <c r="E18" s="461">
        <f t="shared" si="4"/>
        <v>462534370</v>
      </c>
      <c r="F18" s="461">
        <f t="shared" si="4"/>
        <v>97219220.328802258</v>
      </c>
      <c r="G18" s="461">
        <f t="shared" si="4"/>
        <v>559753590.32880223</v>
      </c>
      <c r="H18" s="461">
        <f t="shared" si="4"/>
        <v>65928266.537400737</v>
      </c>
      <c r="I18" s="462">
        <f t="shared" si="2"/>
        <v>0.13350523628725391</v>
      </c>
      <c r="J18" s="461">
        <f>SUM(J9:J17)</f>
        <v>0</v>
      </c>
      <c r="K18"/>
      <c r="L18"/>
      <c r="M18"/>
      <c r="N18"/>
      <c r="P18" s="174"/>
    </row>
    <row r="19" spans="1:16" x14ac:dyDescent="0.25">
      <c r="A19" s="174" t="s">
        <v>43</v>
      </c>
      <c r="L19"/>
      <c r="M19"/>
      <c r="N19"/>
      <c r="O19"/>
    </row>
    <row r="20" spans="1:16" x14ac:dyDescent="0.25">
      <c r="N20" s="408"/>
      <c r="O20" s="408"/>
    </row>
    <row r="21" spans="1:16" ht="18" x14ac:dyDescent="0.25">
      <c r="A21" s="409" t="s">
        <v>67</v>
      </c>
      <c r="C21" s="379" t="s">
        <v>68</v>
      </c>
      <c r="D21" s="407">
        <v>65928266.160919189</v>
      </c>
    </row>
    <row r="23" spans="1:16" ht="60" x14ac:dyDescent="0.25">
      <c r="A23" s="458" t="s">
        <v>53</v>
      </c>
      <c r="B23" s="459" t="s">
        <v>414</v>
      </c>
      <c r="C23" s="459" t="s">
        <v>418</v>
      </c>
      <c r="D23" s="459" t="s">
        <v>415</v>
      </c>
      <c r="E23" s="459" t="s">
        <v>416</v>
      </c>
      <c r="F23" s="459" t="s">
        <v>417</v>
      </c>
      <c r="G23" s="459" t="s">
        <v>40</v>
      </c>
      <c r="H23" s="459" t="s">
        <v>64</v>
      </c>
      <c r="I23" s="459" t="s">
        <v>420</v>
      </c>
    </row>
    <row r="24" spans="1:16" x14ac:dyDescent="0.25">
      <c r="A24" s="400" t="s">
        <v>45</v>
      </c>
      <c r="B24" s="382">
        <v>8506614.6853857189</v>
      </c>
      <c r="C24" s="410">
        <v>3.0625</v>
      </c>
      <c r="D24" s="382">
        <f>B24*(1+0.1*C24)</f>
        <v>11111765.432785094</v>
      </c>
      <c r="E24" s="382">
        <f>$D$21*D24/$D$33</f>
        <v>7935018.2831512177</v>
      </c>
      <c r="F24" s="411">
        <f>E24-B24</f>
        <v>-571596.40223450121</v>
      </c>
      <c r="G24" s="412">
        <v>64133638</v>
      </c>
      <c r="H24" s="382">
        <f>G24-D9</f>
        <v>7935018.591293253</v>
      </c>
      <c r="I24" s="389">
        <f>G24/G9-1</f>
        <v>-8.8338523678758163E-3</v>
      </c>
      <c r="K24" s="541"/>
      <c r="L24" s="541"/>
      <c r="M24" s="541"/>
    </row>
    <row r="25" spans="1:16" x14ac:dyDescent="0.25">
      <c r="A25" s="405" t="s">
        <v>46</v>
      </c>
      <c r="B25" s="382">
        <v>8206181.285914693</v>
      </c>
      <c r="C25" s="410">
        <v>3.9375</v>
      </c>
      <c r="D25" s="382">
        <f t="shared" ref="D25:D31" si="5">B25*(1+0.1*C25)</f>
        <v>11437365.167243604</v>
      </c>
      <c r="E25" s="382">
        <f t="shared" ref="E25:E31" si="6">$D$21*D25/$D$33</f>
        <v>8167532.1767845796</v>
      </c>
      <c r="F25" s="411">
        <f t="shared" ref="F25:F31" si="7">E25-B25</f>
        <v>-38649.109130113386</v>
      </c>
      <c r="G25" s="412">
        <v>40266178</v>
      </c>
      <c r="H25" s="382">
        <f t="shared" ref="H25:H31" si="8">G25-D10</f>
        <v>8167531.6370667778</v>
      </c>
      <c r="I25" s="389">
        <f t="shared" ref="I25:I31" si="9">G25/G10-1</f>
        <v>-9.5892550457976622E-4</v>
      </c>
      <c r="K25" s="541"/>
      <c r="L25" s="541"/>
      <c r="M25" s="541"/>
    </row>
    <row r="26" spans="1:16" x14ac:dyDescent="0.25">
      <c r="A26" s="400" t="s">
        <v>47</v>
      </c>
      <c r="B26" s="382">
        <v>12109174.348699234</v>
      </c>
      <c r="C26" s="410">
        <v>4.5625</v>
      </c>
      <c r="D26" s="382">
        <f t="shared" si="5"/>
        <v>17633985.145293262</v>
      </c>
      <c r="E26" s="382">
        <f t="shared" si="6"/>
        <v>12592597.943065781</v>
      </c>
      <c r="F26" s="411">
        <f t="shared" si="7"/>
        <v>483423.59436654672</v>
      </c>
      <c r="G26" s="412">
        <v>34845080</v>
      </c>
      <c r="H26" s="382">
        <f t="shared" si="8"/>
        <v>12592597.078489952</v>
      </c>
      <c r="I26" s="389">
        <f t="shared" si="9"/>
        <v>1.4068676179727735E-2</v>
      </c>
      <c r="K26" s="541"/>
      <c r="L26" s="541"/>
      <c r="M26" s="541"/>
    </row>
    <row r="27" spans="1:16" x14ac:dyDescent="0.25">
      <c r="A27" s="400" t="s">
        <v>48</v>
      </c>
      <c r="B27" s="382">
        <v>6220680.439347595</v>
      </c>
      <c r="C27" s="410">
        <v>3.3125</v>
      </c>
      <c r="D27" s="382">
        <f t="shared" si="5"/>
        <v>8281280.8348814864</v>
      </c>
      <c r="E27" s="382">
        <f t="shared" si="6"/>
        <v>5913742.0808768859</v>
      </c>
      <c r="F27" s="411">
        <f t="shared" si="7"/>
        <v>-306938.35847070906</v>
      </c>
      <c r="G27" s="412">
        <v>111057956</v>
      </c>
      <c r="H27" s="382">
        <f t="shared" si="8"/>
        <v>5913742.0869997144</v>
      </c>
      <c r="I27" s="389">
        <f t="shared" si="9"/>
        <v>-2.7561499283578206E-3</v>
      </c>
      <c r="K27" s="541"/>
      <c r="L27" s="541"/>
      <c r="M27" s="541"/>
    </row>
    <row r="28" spans="1:16" x14ac:dyDescent="0.25">
      <c r="A28" s="400" t="s">
        <v>49</v>
      </c>
      <c r="B28" s="382">
        <v>21023074.547619313</v>
      </c>
      <c r="C28" s="410">
        <v>4.5</v>
      </c>
      <c r="D28" s="382">
        <f t="shared" si="5"/>
        <v>30483458.094048005</v>
      </c>
      <c r="E28" s="382">
        <f t="shared" si="6"/>
        <v>21768529.832015853</v>
      </c>
      <c r="F28" s="411">
        <f t="shared" si="7"/>
        <v>745455.28439654037</v>
      </c>
      <c r="G28" s="412">
        <v>101897204</v>
      </c>
      <c r="H28" s="382">
        <f t="shared" si="8"/>
        <v>21768530.641243637</v>
      </c>
      <c r="I28" s="389">
        <f t="shared" si="9"/>
        <v>7.369676980421902E-3</v>
      </c>
      <c r="K28" s="541"/>
      <c r="L28" s="541"/>
      <c r="M28" s="541"/>
    </row>
    <row r="29" spans="1:16" x14ac:dyDescent="0.25">
      <c r="A29" s="400" t="s">
        <v>50</v>
      </c>
      <c r="B29" s="382">
        <v>3507897.187515717</v>
      </c>
      <c r="C29" s="410">
        <v>4.125</v>
      </c>
      <c r="D29" s="382">
        <f t="shared" si="5"/>
        <v>4954904.7773659509</v>
      </c>
      <c r="E29" s="382">
        <f t="shared" si="6"/>
        <v>3538345.0305445753</v>
      </c>
      <c r="F29" s="411">
        <f t="shared" si="7"/>
        <v>30447.843028858304</v>
      </c>
      <c r="G29" s="412">
        <v>28405865</v>
      </c>
      <c r="H29" s="382">
        <f t="shared" si="8"/>
        <v>3538345.3006581627</v>
      </c>
      <c r="I29" s="389">
        <f t="shared" si="9"/>
        <v>1.073038078811539E-3</v>
      </c>
      <c r="K29" s="541"/>
      <c r="L29" s="541"/>
      <c r="M29" s="541"/>
    </row>
    <row r="30" spans="1:16" x14ac:dyDescent="0.25">
      <c r="A30" s="400" t="s">
        <v>51</v>
      </c>
      <c r="B30" s="382">
        <v>1911604.2403014749</v>
      </c>
      <c r="C30" s="410">
        <v>2.8125</v>
      </c>
      <c r="D30" s="382">
        <f t="shared" si="5"/>
        <v>2449242.9328862648</v>
      </c>
      <c r="E30" s="382">
        <f t="shared" si="6"/>
        <v>1749027.8722937561</v>
      </c>
      <c r="F30" s="411">
        <f t="shared" si="7"/>
        <v>-162576.36800771882</v>
      </c>
      <c r="G30" s="412">
        <v>109360257</v>
      </c>
      <c r="H30" s="382">
        <f t="shared" si="8"/>
        <v>1749028.1688069105</v>
      </c>
      <c r="I30" s="389">
        <f t="shared" si="9"/>
        <v>-1.4844038093091427E-3</v>
      </c>
      <c r="K30" s="541"/>
      <c r="L30" s="541"/>
      <c r="M30" s="541"/>
    </row>
    <row r="31" spans="1:16" x14ac:dyDescent="0.25">
      <c r="A31" s="405" t="s">
        <v>52</v>
      </c>
      <c r="B31" s="382">
        <v>4443039.4261354357</v>
      </c>
      <c r="C31" s="410">
        <v>3.4375</v>
      </c>
      <c r="D31" s="382">
        <f t="shared" si="5"/>
        <v>5970334.2288694922</v>
      </c>
      <c r="E31" s="382">
        <f t="shared" si="6"/>
        <v>4263472.9421865391</v>
      </c>
      <c r="F31" s="411">
        <f t="shared" si="7"/>
        <v>-179566.48394889664</v>
      </c>
      <c r="G31" s="412">
        <v>69787412</v>
      </c>
      <c r="H31" s="382">
        <f t="shared" si="8"/>
        <v>4263472.7040400654</v>
      </c>
      <c r="I31" s="389">
        <f t="shared" si="9"/>
        <v>-2.5664491884576091E-3</v>
      </c>
      <c r="K31" s="541"/>
      <c r="L31" s="541"/>
      <c r="M31" s="541"/>
    </row>
    <row r="32" spans="1:16" x14ac:dyDescent="0.25">
      <c r="A32" s="400"/>
      <c r="B32" s="382"/>
      <c r="C32" s="410"/>
      <c r="D32" s="382"/>
      <c r="E32" s="382"/>
      <c r="F32" s="411"/>
      <c r="G32" s="412"/>
      <c r="H32" s="382"/>
      <c r="I32" s="381"/>
    </row>
    <row r="33" spans="1:17" x14ac:dyDescent="0.25">
      <c r="A33" s="460" t="s">
        <v>12</v>
      </c>
      <c r="B33" s="461">
        <f>SUM(B24:B32)</f>
        <v>65928266.160919189</v>
      </c>
      <c r="C33" s="463" t="s">
        <v>82</v>
      </c>
      <c r="D33" s="461">
        <f>SUM(D24:D32)</f>
        <v>92322336.61337316</v>
      </c>
      <c r="E33" s="461">
        <f>SUM(E24:E32)</f>
        <v>65928266.160919197</v>
      </c>
      <c r="F33" s="464">
        <f>SUM(F24:F32)</f>
        <v>6.28642737865448E-9</v>
      </c>
      <c r="G33" s="461">
        <f>SUM(G24:G32)</f>
        <v>559753590</v>
      </c>
      <c r="H33" s="461">
        <f>SUM(H24:H32)</f>
        <v>65928266.20859848</v>
      </c>
      <c r="I33" s="463" t="s">
        <v>82</v>
      </c>
      <c r="M33" s="541"/>
    </row>
    <row r="36" spans="1:17" x14ac:dyDescent="0.25">
      <c r="A36" s="409" t="s">
        <v>83</v>
      </c>
    </row>
    <row r="38" spans="1:17" s="380" customFormat="1" x14ac:dyDescent="0.25">
      <c r="A38" s="465" t="s">
        <v>69</v>
      </c>
      <c r="B38" s="523">
        <v>1</v>
      </c>
      <c r="C38" s="524"/>
      <c r="D38" s="523">
        <v>2</v>
      </c>
      <c r="E38" s="524"/>
      <c r="F38" s="523">
        <v>3</v>
      </c>
      <c r="G38" s="525"/>
      <c r="H38" s="524"/>
      <c r="I38" s="523">
        <v>4</v>
      </c>
      <c r="J38" s="524"/>
      <c r="K38" s="523">
        <v>5</v>
      </c>
      <c r="L38" s="524"/>
      <c r="M38" s="523">
        <v>6</v>
      </c>
      <c r="N38" s="524"/>
      <c r="O38" s="465">
        <v>7</v>
      </c>
      <c r="P38" s="466" t="s">
        <v>70</v>
      </c>
      <c r="Q38" s="466"/>
    </row>
    <row r="39" spans="1:17" s="380" customFormat="1" x14ac:dyDescent="0.25">
      <c r="A39" s="467"/>
      <c r="B39" s="526" t="s">
        <v>71</v>
      </c>
      <c r="C39" s="527"/>
      <c r="D39" s="526" t="s">
        <v>72</v>
      </c>
      <c r="E39" s="527"/>
      <c r="F39" s="526" t="s">
        <v>73</v>
      </c>
      <c r="G39" s="528"/>
      <c r="H39" s="527"/>
      <c r="I39" s="526" t="s">
        <v>74</v>
      </c>
      <c r="J39" s="527"/>
      <c r="K39" s="526" t="s">
        <v>75</v>
      </c>
      <c r="L39" s="527"/>
      <c r="M39" s="526" t="s">
        <v>76</v>
      </c>
      <c r="N39" s="527"/>
      <c r="O39" s="468" t="s">
        <v>77</v>
      </c>
      <c r="P39" s="466"/>
      <c r="Q39" s="466"/>
    </row>
    <row r="40" spans="1:17" s="380" customFormat="1" ht="18" x14ac:dyDescent="0.25">
      <c r="A40" s="468" t="s">
        <v>78</v>
      </c>
      <c r="B40" s="526">
        <v>3</v>
      </c>
      <c r="C40" s="527"/>
      <c r="D40" s="526">
        <v>3</v>
      </c>
      <c r="E40" s="527"/>
      <c r="F40" s="526">
        <v>3</v>
      </c>
      <c r="G40" s="528"/>
      <c r="H40" s="527"/>
      <c r="I40" s="526">
        <v>2</v>
      </c>
      <c r="J40" s="527"/>
      <c r="K40" s="526">
        <v>2</v>
      </c>
      <c r="L40" s="527"/>
      <c r="M40" s="526">
        <v>2</v>
      </c>
      <c r="N40" s="527"/>
      <c r="O40" s="468">
        <v>1</v>
      </c>
      <c r="P40" s="469"/>
      <c r="Q40" s="469" t="s">
        <v>418</v>
      </c>
    </row>
    <row r="41" spans="1:17" s="380" customFormat="1" x14ac:dyDescent="0.25">
      <c r="A41" s="415"/>
      <c r="B41" s="416" t="s">
        <v>79</v>
      </c>
      <c r="C41" s="417" t="s">
        <v>80</v>
      </c>
      <c r="D41" s="416" t="s">
        <v>79</v>
      </c>
      <c r="E41" s="417" t="s">
        <v>80</v>
      </c>
      <c r="F41" s="416" t="s">
        <v>79</v>
      </c>
      <c r="G41" s="417" t="s">
        <v>81</v>
      </c>
      <c r="H41" s="417" t="s">
        <v>80</v>
      </c>
      <c r="I41" s="416" t="s">
        <v>79</v>
      </c>
      <c r="J41" s="417" t="s">
        <v>80</v>
      </c>
      <c r="K41" s="416" t="s">
        <v>79</v>
      </c>
      <c r="L41" s="417" t="s">
        <v>80</v>
      </c>
      <c r="M41" s="416" t="s">
        <v>79</v>
      </c>
      <c r="N41" s="417" t="s">
        <v>80</v>
      </c>
      <c r="O41" s="415" t="s">
        <v>79</v>
      </c>
      <c r="P41" s="415"/>
      <c r="Q41" s="415"/>
    </row>
    <row r="42" spans="1:17" s="275" customFormat="1" x14ac:dyDescent="0.25">
      <c r="A42" s="418" t="s">
        <v>45</v>
      </c>
      <c r="B42" s="419">
        <v>2</v>
      </c>
      <c r="C42" s="420">
        <f>3*B42</f>
        <v>6</v>
      </c>
      <c r="D42" s="421">
        <v>4</v>
      </c>
      <c r="E42" s="420">
        <f t="shared" ref="E42:E49" si="10">3*D42</f>
        <v>12</v>
      </c>
      <c r="F42" s="419">
        <v>3</v>
      </c>
      <c r="G42" s="422">
        <v>0</v>
      </c>
      <c r="H42" s="420">
        <f>3*(F42+G42)</f>
        <v>9</v>
      </c>
      <c r="I42" s="419">
        <v>5</v>
      </c>
      <c r="J42" s="420">
        <f>2*I42</f>
        <v>10</v>
      </c>
      <c r="K42" s="419">
        <v>1</v>
      </c>
      <c r="L42" s="420">
        <f t="shared" ref="L42:N49" si="11">2*K42</f>
        <v>2</v>
      </c>
      <c r="M42" s="421">
        <v>3</v>
      </c>
      <c r="N42" s="420">
        <f t="shared" si="11"/>
        <v>6</v>
      </c>
      <c r="O42" s="423">
        <v>4</v>
      </c>
      <c r="P42" s="24">
        <f t="shared" ref="P42:P49" si="12">SUM(C42,E42,H42,J42,L42,N42,O42)</f>
        <v>49</v>
      </c>
      <c r="Q42" s="381">
        <f>P42/16</f>
        <v>3.0625</v>
      </c>
    </row>
    <row r="43" spans="1:17" s="275" customFormat="1" x14ac:dyDescent="0.25">
      <c r="A43" s="418" t="s">
        <v>46</v>
      </c>
      <c r="B43" s="419">
        <v>4</v>
      </c>
      <c r="C43" s="420">
        <f t="shared" ref="C43:C49" si="13">3*B43</f>
        <v>12</v>
      </c>
      <c r="D43" s="421">
        <v>5</v>
      </c>
      <c r="E43" s="420">
        <f t="shared" si="10"/>
        <v>15</v>
      </c>
      <c r="F43" s="419">
        <v>4</v>
      </c>
      <c r="G43" s="422">
        <v>0</v>
      </c>
      <c r="H43" s="420">
        <f t="shared" ref="H43:H49" si="14">3*(F43+G43)</f>
        <v>12</v>
      </c>
      <c r="I43" s="419">
        <v>5</v>
      </c>
      <c r="J43" s="420">
        <f t="shared" ref="J43:J49" si="15">2*I43</f>
        <v>10</v>
      </c>
      <c r="K43" s="419">
        <v>3</v>
      </c>
      <c r="L43" s="420">
        <f t="shared" si="11"/>
        <v>6</v>
      </c>
      <c r="M43" s="421">
        <v>2</v>
      </c>
      <c r="N43" s="420">
        <f t="shared" si="11"/>
        <v>4</v>
      </c>
      <c r="O43" s="423">
        <v>4</v>
      </c>
      <c r="P43" s="24">
        <f t="shared" si="12"/>
        <v>63</v>
      </c>
      <c r="Q43" s="381">
        <f t="shared" ref="Q43:Q49" si="16">P43/16</f>
        <v>3.9375</v>
      </c>
    </row>
    <row r="44" spans="1:17" s="275" customFormat="1" x14ac:dyDescent="0.25">
      <c r="A44" s="418" t="s">
        <v>48</v>
      </c>
      <c r="B44" s="419">
        <v>2</v>
      </c>
      <c r="C44" s="420">
        <f t="shared" si="13"/>
        <v>6</v>
      </c>
      <c r="D44" s="421">
        <v>4</v>
      </c>
      <c r="E44" s="420">
        <f t="shared" si="10"/>
        <v>12</v>
      </c>
      <c r="F44" s="419">
        <v>4</v>
      </c>
      <c r="G44" s="422">
        <v>0</v>
      </c>
      <c r="H44" s="420">
        <f t="shared" si="14"/>
        <v>12</v>
      </c>
      <c r="I44" s="419">
        <v>4</v>
      </c>
      <c r="J44" s="420">
        <f t="shared" si="15"/>
        <v>8</v>
      </c>
      <c r="K44" s="419">
        <v>3</v>
      </c>
      <c r="L44" s="420">
        <f t="shared" si="11"/>
        <v>6</v>
      </c>
      <c r="M44" s="421">
        <v>2</v>
      </c>
      <c r="N44" s="420">
        <f t="shared" si="11"/>
        <v>4</v>
      </c>
      <c r="O44" s="423">
        <v>5</v>
      </c>
      <c r="P44" s="24">
        <f t="shared" si="12"/>
        <v>53</v>
      </c>
      <c r="Q44" s="381">
        <f t="shared" si="16"/>
        <v>3.3125</v>
      </c>
    </row>
    <row r="45" spans="1:17" s="275" customFormat="1" x14ac:dyDescent="0.25">
      <c r="A45" s="418" t="s">
        <v>49</v>
      </c>
      <c r="B45" s="419">
        <v>5</v>
      </c>
      <c r="C45" s="420">
        <f t="shared" si="13"/>
        <v>15</v>
      </c>
      <c r="D45" s="421">
        <v>5</v>
      </c>
      <c r="E45" s="420">
        <f t="shared" si="10"/>
        <v>15</v>
      </c>
      <c r="F45" s="419">
        <v>5</v>
      </c>
      <c r="G45" s="422">
        <v>0</v>
      </c>
      <c r="H45" s="420">
        <f t="shared" si="14"/>
        <v>15</v>
      </c>
      <c r="I45" s="419">
        <v>5</v>
      </c>
      <c r="J45" s="420">
        <f t="shared" si="15"/>
        <v>10</v>
      </c>
      <c r="K45" s="419">
        <v>5</v>
      </c>
      <c r="L45" s="420">
        <f t="shared" si="11"/>
        <v>10</v>
      </c>
      <c r="M45" s="421">
        <v>2</v>
      </c>
      <c r="N45" s="420">
        <f t="shared" si="11"/>
        <v>4</v>
      </c>
      <c r="O45" s="423">
        <v>3</v>
      </c>
      <c r="P45" s="24">
        <f t="shared" si="12"/>
        <v>72</v>
      </c>
      <c r="Q45" s="381">
        <f t="shared" si="16"/>
        <v>4.5</v>
      </c>
    </row>
    <row r="46" spans="1:17" s="275" customFormat="1" x14ac:dyDescent="0.25">
      <c r="A46" s="418" t="s">
        <v>47</v>
      </c>
      <c r="B46" s="419">
        <v>5</v>
      </c>
      <c r="C46" s="420">
        <f t="shared" si="13"/>
        <v>15</v>
      </c>
      <c r="D46" s="421">
        <v>5</v>
      </c>
      <c r="E46" s="420">
        <f t="shared" si="10"/>
        <v>15</v>
      </c>
      <c r="F46" s="419">
        <v>5</v>
      </c>
      <c r="G46" s="422">
        <v>0</v>
      </c>
      <c r="H46" s="420">
        <f t="shared" si="14"/>
        <v>15</v>
      </c>
      <c r="I46" s="419">
        <v>5</v>
      </c>
      <c r="J46" s="420">
        <f t="shared" si="15"/>
        <v>10</v>
      </c>
      <c r="K46" s="419">
        <v>5</v>
      </c>
      <c r="L46" s="420">
        <f t="shared" si="11"/>
        <v>10</v>
      </c>
      <c r="M46" s="421">
        <v>2</v>
      </c>
      <c r="N46" s="420">
        <f t="shared" si="11"/>
        <v>4</v>
      </c>
      <c r="O46" s="423">
        <v>4</v>
      </c>
      <c r="P46" s="24">
        <f t="shared" si="12"/>
        <v>73</v>
      </c>
      <c r="Q46" s="381">
        <f t="shared" si="16"/>
        <v>4.5625</v>
      </c>
    </row>
    <row r="47" spans="1:17" s="275" customFormat="1" x14ac:dyDescent="0.25">
      <c r="A47" s="418" t="s">
        <v>50</v>
      </c>
      <c r="B47" s="419">
        <v>5</v>
      </c>
      <c r="C47" s="420">
        <f t="shared" si="13"/>
        <v>15</v>
      </c>
      <c r="D47" s="421">
        <v>4</v>
      </c>
      <c r="E47" s="420">
        <f t="shared" si="10"/>
        <v>12</v>
      </c>
      <c r="F47" s="419">
        <v>5</v>
      </c>
      <c r="G47" s="422">
        <v>0</v>
      </c>
      <c r="H47" s="420">
        <f t="shared" si="14"/>
        <v>15</v>
      </c>
      <c r="I47" s="419">
        <v>5</v>
      </c>
      <c r="J47" s="420">
        <f t="shared" si="15"/>
        <v>10</v>
      </c>
      <c r="K47" s="419">
        <v>2</v>
      </c>
      <c r="L47" s="420">
        <f t="shared" si="11"/>
        <v>4</v>
      </c>
      <c r="M47" s="421">
        <v>3</v>
      </c>
      <c r="N47" s="420">
        <f t="shared" si="11"/>
        <v>6</v>
      </c>
      <c r="O47" s="423">
        <v>4</v>
      </c>
      <c r="P47" s="24">
        <f t="shared" si="12"/>
        <v>66</v>
      </c>
      <c r="Q47" s="381">
        <f t="shared" si="16"/>
        <v>4.125</v>
      </c>
    </row>
    <row r="48" spans="1:17" s="275" customFormat="1" x14ac:dyDescent="0.25">
      <c r="A48" s="418" t="s">
        <v>51</v>
      </c>
      <c r="B48" s="419">
        <v>1</v>
      </c>
      <c r="C48" s="420">
        <f t="shared" si="13"/>
        <v>3</v>
      </c>
      <c r="D48" s="421">
        <v>4</v>
      </c>
      <c r="E48" s="420">
        <f t="shared" si="10"/>
        <v>12</v>
      </c>
      <c r="F48" s="419">
        <v>2</v>
      </c>
      <c r="G48" s="422">
        <v>1</v>
      </c>
      <c r="H48" s="420">
        <f t="shared" si="14"/>
        <v>9</v>
      </c>
      <c r="I48" s="419">
        <v>3</v>
      </c>
      <c r="J48" s="420">
        <f t="shared" si="15"/>
        <v>6</v>
      </c>
      <c r="K48" s="419">
        <v>2</v>
      </c>
      <c r="L48" s="420">
        <f t="shared" si="11"/>
        <v>4</v>
      </c>
      <c r="M48" s="421">
        <v>3</v>
      </c>
      <c r="N48" s="420">
        <f t="shared" si="11"/>
        <v>6</v>
      </c>
      <c r="O48" s="423">
        <v>5</v>
      </c>
      <c r="P48" s="24">
        <f t="shared" si="12"/>
        <v>45</v>
      </c>
      <c r="Q48" s="381">
        <f t="shared" si="16"/>
        <v>2.8125</v>
      </c>
    </row>
    <row r="49" spans="1:17" s="275" customFormat="1" x14ac:dyDescent="0.25">
      <c r="A49" s="424" t="s">
        <v>52</v>
      </c>
      <c r="B49" s="425">
        <v>4</v>
      </c>
      <c r="C49" s="426">
        <f t="shared" si="13"/>
        <v>12</v>
      </c>
      <c r="D49" s="427">
        <v>4</v>
      </c>
      <c r="E49" s="426">
        <f t="shared" si="10"/>
        <v>12</v>
      </c>
      <c r="F49" s="425">
        <v>4</v>
      </c>
      <c r="G49" s="428">
        <v>0</v>
      </c>
      <c r="H49" s="426">
        <f t="shared" si="14"/>
        <v>12</v>
      </c>
      <c r="I49" s="425">
        <v>3</v>
      </c>
      <c r="J49" s="426">
        <f t="shared" si="15"/>
        <v>6</v>
      </c>
      <c r="K49" s="425">
        <v>3</v>
      </c>
      <c r="L49" s="426">
        <f t="shared" si="11"/>
        <v>6</v>
      </c>
      <c r="M49" s="427">
        <v>1</v>
      </c>
      <c r="N49" s="426">
        <f t="shared" si="11"/>
        <v>2</v>
      </c>
      <c r="O49" s="429">
        <v>5</v>
      </c>
      <c r="P49" s="24">
        <f t="shared" si="12"/>
        <v>55</v>
      </c>
      <c r="Q49" s="381">
        <f t="shared" si="16"/>
        <v>3.4375</v>
      </c>
    </row>
  </sheetData>
  <mergeCells count="18">
    <mergeCell ref="M39:N39"/>
    <mergeCell ref="B40:C40"/>
    <mergeCell ref="D40:E40"/>
    <mergeCell ref="F40:H40"/>
    <mergeCell ref="I40:J40"/>
    <mergeCell ref="K40:L40"/>
    <mergeCell ref="M40:N40"/>
    <mergeCell ref="B39:C39"/>
    <mergeCell ref="D39:E39"/>
    <mergeCell ref="F39:H39"/>
    <mergeCell ref="I39:J39"/>
    <mergeCell ref="K39:L39"/>
    <mergeCell ref="M38:N38"/>
    <mergeCell ref="B38:C38"/>
    <mergeCell ref="D38:E38"/>
    <mergeCell ref="F38:H38"/>
    <mergeCell ref="I38:J38"/>
    <mergeCell ref="K38:L38"/>
  </mergeCells>
  <pageMargins left="0.11811023622047245" right="0.11811023622047245" top="0.78740157480314965" bottom="0.78740157480314965" header="0.31496062992125984" footer="0.31496062992125984"/>
  <pageSetup paperSize="8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3"/>
  <sheetViews>
    <sheetView zoomScaleNormal="100" workbookViewId="0">
      <selection activeCell="A9" sqref="A9"/>
    </sheetView>
  </sheetViews>
  <sheetFormatPr defaultRowHeight="15" x14ac:dyDescent="0.25"/>
  <cols>
    <col min="1" max="1" width="28.42578125" customWidth="1"/>
    <col min="2" max="2" width="12.85546875" customWidth="1"/>
    <col min="3" max="3" width="16" customWidth="1"/>
    <col min="4" max="4" width="8.5703125" customWidth="1"/>
    <col min="5" max="5" width="15" customWidth="1"/>
    <col min="6" max="7" width="15" bestFit="1" customWidth="1"/>
    <col min="8" max="9" width="14.140625" customWidth="1"/>
    <col min="10" max="10" width="16" bestFit="1" customWidth="1"/>
    <col min="11" max="11" width="15.42578125" bestFit="1" customWidth="1"/>
  </cols>
  <sheetData>
    <row r="1" spans="1:15" s="5" customFormat="1" ht="15.75" x14ac:dyDescent="0.25">
      <c r="A1" s="334" t="s">
        <v>401</v>
      </c>
    </row>
    <row r="4" spans="1:15" s="7" customFormat="1" x14ac:dyDescent="0.25">
      <c r="A4" s="7" t="s">
        <v>399</v>
      </c>
      <c r="F4" s="529">
        <v>226647182</v>
      </c>
      <c r="G4" s="529"/>
    </row>
    <row r="5" spans="1:15" s="8" customFormat="1" x14ac:dyDescent="0.25">
      <c r="A5" s="8" t="s">
        <v>92</v>
      </c>
      <c r="F5" s="530">
        <v>4532944</v>
      </c>
      <c r="G5" s="530"/>
    </row>
    <row r="6" spans="1:15" s="8" customFormat="1" x14ac:dyDescent="0.25">
      <c r="A6" s="8" t="s">
        <v>93</v>
      </c>
      <c r="F6" s="530">
        <v>18131775</v>
      </c>
      <c r="G6" s="530"/>
    </row>
    <row r="7" spans="1:15" s="8" customFormat="1" x14ac:dyDescent="0.25">
      <c r="A7" s="8" t="s">
        <v>94</v>
      </c>
      <c r="F7" s="530">
        <v>203982463</v>
      </c>
      <c r="G7" s="530"/>
    </row>
    <row r="8" spans="1:15" x14ac:dyDescent="0.25">
      <c r="J8" s="9"/>
    </row>
    <row r="9" spans="1:15" s="10" customFormat="1" ht="51" x14ac:dyDescent="0.25">
      <c r="A9" s="470"/>
      <c r="B9" s="471" t="s">
        <v>95</v>
      </c>
      <c r="C9" s="471" t="s">
        <v>96</v>
      </c>
      <c r="D9" s="471" t="s">
        <v>97</v>
      </c>
      <c r="E9" s="471" t="s">
        <v>98</v>
      </c>
      <c r="F9" s="471" t="s">
        <v>99</v>
      </c>
      <c r="G9" s="471" t="s">
        <v>100</v>
      </c>
      <c r="H9" s="471" t="s">
        <v>101</v>
      </c>
      <c r="I9" s="472" t="s">
        <v>112</v>
      </c>
      <c r="J9" s="472" t="s">
        <v>113</v>
      </c>
      <c r="K9"/>
      <c r="L9"/>
      <c r="M9"/>
      <c r="N9"/>
      <c r="O9"/>
    </row>
    <row r="10" spans="1:15" x14ac:dyDescent="0.25">
      <c r="A10" s="11" t="s">
        <v>55</v>
      </c>
      <c r="B10" s="12">
        <v>3250.63273824</v>
      </c>
      <c r="C10" s="13">
        <v>3798036.16</v>
      </c>
      <c r="D10" s="14">
        <v>8</v>
      </c>
      <c r="E10" s="15">
        <v>8516885</v>
      </c>
      <c r="F10" s="15">
        <v>335959</v>
      </c>
      <c r="G10" s="27">
        <f>SUM(E10:F10)</f>
        <v>8852844</v>
      </c>
      <c r="H10" s="15">
        <v>9346946</v>
      </c>
      <c r="I10" s="15">
        <f>G10-H10</f>
        <v>-494102</v>
      </c>
      <c r="J10" s="16">
        <f t="shared" ref="J10:J17" si="0">G10/H10</f>
        <v>0.94713759981067613</v>
      </c>
    </row>
    <row r="11" spans="1:15" x14ac:dyDescent="0.25">
      <c r="A11" s="11" t="s">
        <v>54</v>
      </c>
      <c r="B11" s="12">
        <v>6441.47913324</v>
      </c>
      <c r="C11" s="13">
        <v>29148000</v>
      </c>
      <c r="D11" s="14">
        <v>25</v>
      </c>
      <c r="E11" s="15">
        <v>16877126</v>
      </c>
      <c r="F11" s="15">
        <v>1294424</v>
      </c>
      <c r="G11" s="27">
        <f t="shared" ref="G11:G17" si="1">SUM(E11:F11)</f>
        <v>18171550</v>
      </c>
      <c r="H11" s="15">
        <v>16608086</v>
      </c>
      <c r="I11" s="15">
        <f t="shared" ref="I11:I19" si="2">G11-H11</f>
        <v>1563464</v>
      </c>
      <c r="J11" s="16">
        <f t="shared" si="0"/>
        <v>1.0941387225475592</v>
      </c>
    </row>
    <row r="12" spans="1:15" x14ac:dyDescent="0.25">
      <c r="A12" s="11" t="s">
        <v>56</v>
      </c>
      <c r="B12" s="12">
        <v>18251.814695239998</v>
      </c>
      <c r="C12" s="13">
        <v>153049567.85999995</v>
      </c>
      <c r="D12" s="14">
        <v>52</v>
      </c>
      <c r="E12" s="15">
        <v>47821032</v>
      </c>
      <c r="F12" s="15">
        <v>4000432</v>
      </c>
      <c r="G12" s="27">
        <f t="shared" si="1"/>
        <v>51821464</v>
      </c>
      <c r="H12" s="15">
        <v>50347061</v>
      </c>
      <c r="I12" s="15">
        <f t="shared" si="2"/>
        <v>1474403</v>
      </c>
      <c r="J12" s="16">
        <f t="shared" si="0"/>
        <v>1.0292847878449152</v>
      </c>
    </row>
    <row r="13" spans="1:15" x14ac:dyDescent="0.25">
      <c r="A13" s="11" t="s">
        <v>57</v>
      </c>
      <c r="B13" s="12">
        <v>4214.3770652399999</v>
      </c>
      <c r="C13" s="13">
        <v>11066507.689999999</v>
      </c>
      <c r="D13" s="14">
        <v>11</v>
      </c>
      <c r="E13" s="15">
        <v>11041963</v>
      </c>
      <c r="F13" s="15">
        <v>544657</v>
      </c>
      <c r="G13" s="27">
        <f t="shared" si="1"/>
        <v>11586620</v>
      </c>
      <c r="H13" s="15">
        <v>11309662</v>
      </c>
      <c r="I13" s="15">
        <f t="shared" si="2"/>
        <v>276958</v>
      </c>
      <c r="J13" s="16">
        <f t="shared" si="0"/>
        <v>1.0244886186695943</v>
      </c>
    </row>
    <row r="14" spans="1:15" x14ac:dyDescent="0.25">
      <c r="A14" s="11" t="s">
        <v>58</v>
      </c>
      <c r="B14" s="12">
        <v>32308.361405240001</v>
      </c>
      <c r="C14" s="13">
        <v>342684173.94000006</v>
      </c>
      <c r="D14" s="14">
        <v>99</v>
      </c>
      <c r="E14" s="15">
        <v>84650168</v>
      </c>
      <c r="F14" s="15">
        <v>8342268</v>
      </c>
      <c r="G14" s="27">
        <f t="shared" si="1"/>
        <v>92992436</v>
      </c>
      <c r="H14" s="15">
        <v>76205207</v>
      </c>
      <c r="I14" s="15">
        <f t="shared" si="2"/>
        <v>16787229</v>
      </c>
      <c r="J14" s="16">
        <f t="shared" si="0"/>
        <v>1.2202897893840772</v>
      </c>
    </row>
    <row r="15" spans="1:15" x14ac:dyDescent="0.25">
      <c r="A15" s="11" t="s">
        <v>59</v>
      </c>
      <c r="B15" s="12">
        <v>3884.6391032399997</v>
      </c>
      <c r="C15" s="13">
        <v>12175273.699999999</v>
      </c>
      <c r="D15" s="14">
        <v>9</v>
      </c>
      <c r="E15" s="15">
        <v>10178026</v>
      </c>
      <c r="F15" s="15">
        <v>489797</v>
      </c>
      <c r="G15" s="27">
        <f t="shared" si="1"/>
        <v>10667823</v>
      </c>
      <c r="H15" s="15">
        <v>9416647</v>
      </c>
      <c r="I15" s="15">
        <f t="shared" si="2"/>
        <v>1251176</v>
      </c>
      <c r="J15" s="16">
        <f t="shared" si="0"/>
        <v>1.1328685252829378</v>
      </c>
    </row>
    <row r="16" spans="1:15" x14ac:dyDescent="0.25">
      <c r="A16" s="11" t="s">
        <v>60</v>
      </c>
      <c r="B16" s="12">
        <v>2134.6489242399998</v>
      </c>
      <c r="C16" s="13">
        <v>23802293.359999999</v>
      </c>
      <c r="D16" s="14">
        <v>14</v>
      </c>
      <c r="E16" s="15">
        <v>5592929</v>
      </c>
      <c r="F16" s="15">
        <v>830733</v>
      </c>
      <c r="G16" s="27">
        <f t="shared" si="1"/>
        <v>6423662</v>
      </c>
      <c r="H16" s="15">
        <v>5177501</v>
      </c>
      <c r="I16" s="15">
        <f t="shared" si="2"/>
        <v>1246161</v>
      </c>
      <c r="J16" s="16">
        <f t="shared" si="0"/>
        <v>1.2406877371921319</v>
      </c>
    </row>
    <row r="17" spans="1:15" x14ac:dyDescent="0.25">
      <c r="A17" s="11" t="s">
        <v>61</v>
      </c>
      <c r="B17" s="12">
        <v>7367.8695532400006</v>
      </c>
      <c r="C17" s="13">
        <v>64845410.700000003</v>
      </c>
      <c r="D17" s="14">
        <v>39</v>
      </c>
      <c r="E17" s="15">
        <v>19304334</v>
      </c>
      <c r="F17" s="15">
        <v>2293505</v>
      </c>
      <c r="G17" s="27">
        <f t="shared" si="1"/>
        <v>21597839</v>
      </c>
      <c r="H17" s="15">
        <v>21360361</v>
      </c>
      <c r="I17" s="15">
        <f t="shared" si="2"/>
        <v>237478</v>
      </c>
      <c r="J17" s="16">
        <f t="shared" si="0"/>
        <v>1.0111176959977408</v>
      </c>
    </row>
    <row r="18" spans="1:15" s="2" customFormat="1" x14ac:dyDescent="0.25">
      <c r="A18" s="473" t="s">
        <v>102</v>
      </c>
      <c r="B18" s="474">
        <f t="shared" ref="B18:H18" si="3">SUM(B10:B17)</f>
        <v>77853.822617919999</v>
      </c>
      <c r="C18" s="475">
        <f t="shared" si="3"/>
        <v>640569263.41000009</v>
      </c>
      <c r="D18" s="473">
        <f t="shared" si="3"/>
        <v>257</v>
      </c>
      <c r="E18" s="476">
        <f t="shared" si="3"/>
        <v>203982463</v>
      </c>
      <c r="F18" s="476">
        <f t="shared" si="3"/>
        <v>18131775</v>
      </c>
      <c r="G18" s="476">
        <f t="shared" si="3"/>
        <v>222114238</v>
      </c>
      <c r="H18" s="476">
        <f t="shared" si="3"/>
        <v>199771471</v>
      </c>
      <c r="I18" s="476">
        <f>SUM(I10:I17)</f>
        <v>22342767</v>
      </c>
      <c r="J18" s="477">
        <f>G18/H18</f>
        <v>1.1118416302796308</v>
      </c>
      <c r="K18" s="3"/>
      <c r="L18"/>
      <c r="M18"/>
      <c r="N18"/>
      <c r="O18"/>
    </row>
    <row r="19" spans="1:15" ht="30" x14ac:dyDescent="0.25">
      <c r="A19" s="20" t="s">
        <v>103</v>
      </c>
      <c r="B19" s="21" t="s">
        <v>82</v>
      </c>
      <c r="C19" s="22" t="s">
        <v>82</v>
      </c>
      <c r="D19" s="22" t="s">
        <v>82</v>
      </c>
      <c r="E19" s="23" t="s">
        <v>82</v>
      </c>
      <c r="F19" s="23" t="s">
        <v>82</v>
      </c>
      <c r="G19" s="27">
        <v>4532944</v>
      </c>
      <c r="H19" s="15">
        <v>4076969</v>
      </c>
      <c r="I19" s="15">
        <f t="shared" si="2"/>
        <v>455975</v>
      </c>
      <c r="J19" s="16">
        <f>G19/H19</f>
        <v>1.1118416647269087</v>
      </c>
    </row>
    <row r="20" spans="1:15" s="2" customFormat="1" x14ac:dyDescent="0.25">
      <c r="A20" s="24" t="s">
        <v>12</v>
      </c>
      <c r="B20" s="18">
        <f>B18</f>
        <v>77853.822617919999</v>
      </c>
      <c r="C20" s="25">
        <f>C18</f>
        <v>640569263.41000009</v>
      </c>
      <c r="D20" s="17">
        <f>D18</f>
        <v>257</v>
      </c>
      <c r="E20" s="19">
        <f>E18</f>
        <v>203982463</v>
      </c>
      <c r="F20" s="19">
        <f>F18</f>
        <v>18131775</v>
      </c>
      <c r="G20" s="28">
        <f>G19+G18</f>
        <v>226647182</v>
      </c>
      <c r="H20" s="19">
        <f>H19+H18</f>
        <v>203848440</v>
      </c>
      <c r="I20" s="19">
        <f>SUM(I18:I19)</f>
        <v>22798742</v>
      </c>
      <c r="J20" s="16">
        <f>G20/H20</f>
        <v>1.1118416309685764</v>
      </c>
    </row>
    <row r="21" spans="1:15" x14ac:dyDescent="0.25">
      <c r="C21" s="26"/>
      <c r="H21" s="3"/>
      <c r="J21" s="4"/>
    </row>
    <row r="23" spans="1:15" x14ac:dyDescent="0.25">
      <c r="I23" s="3"/>
    </row>
  </sheetData>
  <mergeCells count="4">
    <mergeCell ref="F4:G4"/>
    <mergeCell ref="F5:G5"/>
    <mergeCell ref="F6:G6"/>
    <mergeCell ref="F7:G7"/>
  </mergeCells>
  <pageMargins left="0.7" right="0.7" top="0.78740157499999996" bottom="0.78740157499999996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D1" workbookViewId="0"/>
  </sheetViews>
  <sheetFormatPr defaultColWidth="9.140625" defaultRowHeight="15" x14ac:dyDescent="0.25"/>
  <cols>
    <col min="1" max="1" width="32.42578125" style="174" bestFit="1" customWidth="1"/>
    <col min="2" max="2" width="20.28515625" style="174" customWidth="1"/>
    <col min="3" max="3" width="19.28515625" style="174" customWidth="1"/>
    <col min="4" max="4" width="22.28515625" style="174" customWidth="1"/>
    <col min="5" max="5" width="20.28515625" style="174" customWidth="1"/>
    <col min="6" max="6" width="19.28515625" style="174" customWidth="1"/>
    <col min="7" max="8" width="22.28515625" style="174" customWidth="1"/>
    <col min="9" max="9" width="20.28515625" style="174" customWidth="1"/>
    <col min="10" max="11" width="22.28515625" style="174" customWidth="1"/>
    <col min="12" max="16384" width="9.140625" style="174"/>
  </cols>
  <sheetData>
    <row r="1" spans="1:11" s="5" customFormat="1" ht="15.75" x14ac:dyDescent="0.25">
      <c r="A1" s="172" t="s">
        <v>402</v>
      </c>
    </row>
    <row r="3" spans="1:11" s="380" customFormat="1" ht="45" x14ac:dyDescent="0.25">
      <c r="A3" s="478" t="s">
        <v>53</v>
      </c>
      <c r="B3" s="459" t="s">
        <v>104</v>
      </c>
      <c r="C3" s="478" t="s">
        <v>100</v>
      </c>
      <c r="D3" s="478" t="s">
        <v>106</v>
      </c>
      <c r="E3" s="459" t="s">
        <v>107</v>
      </c>
      <c r="F3" s="478" t="s">
        <v>108</v>
      </c>
      <c r="G3" s="478" t="s">
        <v>109</v>
      </c>
      <c r="H3" s="478" t="s">
        <v>110</v>
      </c>
      <c r="I3" s="459" t="s">
        <v>440</v>
      </c>
      <c r="J3" s="478" t="s">
        <v>114</v>
      </c>
      <c r="K3" s="478" t="s">
        <v>400</v>
      </c>
    </row>
    <row r="4" spans="1:11" s="275" customFormat="1" x14ac:dyDescent="0.25">
      <c r="A4" s="381" t="s">
        <v>55</v>
      </c>
      <c r="B4" s="382">
        <v>64133638</v>
      </c>
      <c r="C4" s="382">
        <v>8852844</v>
      </c>
      <c r="D4" s="383">
        <f>SUM(B4:C4)</f>
        <v>72986482</v>
      </c>
      <c r="E4" s="382">
        <v>56198620</v>
      </c>
      <c r="F4" s="382">
        <v>9346946</v>
      </c>
      <c r="G4" s="382">
        <f t="shared" ref="G4:G13" si="0">SUM(E4:F4)</f>
        <v>65545566</v>
      </c>
      <c r="H4" s="382">
        <f>D4-G4</f>
        <v>7440916</v>
      </c>
      <c r="I4" s="382">
        <v>743255</v>
      </c>
      <c r="J4" s="382">
        <f>G4+I4</f>
        <v>66288821</v>
      </c>
      <c r="K4" s="382">
        <f>D4-J4</f>
        <v>6697661</v>
      </c>
    </row>
    <row r="5" spans="1:11" s="275" customFormat="1" x14ac:dyDescent="0.25">
      <c r="A5" s="381" t="s">
        <v>54</v>
      </c>
      <c r="B5" s="382">
        <v>40266178</v>
      </c>
      <c r="C5" s="382">
        <v>18171550</v>
      </c>
      <c r="D5" s="383">
        <f t="shared" ref="D5:D13" si="1">SUM(B5:C5)</f>
        <v>58437728</v>
      </c>
      <c r="E5" s="382">
        <v>32098646</v>
      </c>
      <c r="F5" s="382">
        <v>16608086</v>
      </c>
      <c r="G5" s="382">
        <f t="shared" si="0"/>
        <v>48706732</v>
      </c>
      <c r="H5" s="382">
        <f t="shared" ref="H5:H11" si="2">D5-G5</f>
        <v>9730996</v>
      </c>
      <c r="I5" s="382">
        <v>652046</v>
      </c>
      <c r="J5" s="382">
        <f t="shared" ref="J5:J14" si="3">G5+I5</f>
        <v>49358778</v>
      </c>
      <c r="K5" s="382">
        <f t="shared" ref="K5:K11" si="4">D5-J5</f>
        <v>9078950</v>
      </c>
    </row>
    <row r="6" spans="1:11" s="275" customFormat="1" x14ac:dyDescent="0.25">
      <c r="A6" s="381" t="s">
        <v>56</v>
      </c>
      <c r="B6" s="382">
        <v>34845080</v>
      </c>
      <c r="C6" s="382">
        <v>51821464</v>
      </c>
      <c r="D6" s="383">
        <f t="shared" si="1"/>
        <v>86666544</v>
      </c>
      <c r="E6" s="382">
        <v>22252483</v>
      </c>
      <c r="F6" s="382">
        <v>50347061</v>
      </c>
      <c r="G6" s="382">
        <f t="shared" si="0"/>
        <v>72599544</v>
      </c>
      <c r="H6" s="382">
        <f t="shared" si="2"/>
        <v>14067000</v>
      </c>
      <c r="I6" s="382">
        <v>412250</v>
      </c>
      <c r="J6" s="382">
        <f t="shared" si="3"/>
        <v>73011794</v>
      </c>
      <c r="K6" s="382">
        <f t="shared" si="4"/>
        <v>13654750</v>
      </c>
    </row>
    <row r="7" spans="1:11" s="275" customFormat="1" x14ac:dyDescent="0.25">
      <c r="A7" s="381" t="s">
        <v>57</v>
      </c>
      <c r="B7" s="382">
        <v>111057956</v>
      </c>
      <c r="C7" s="382">
        <v>11586620</v>
      </c>
      <c r="D7" s="383">
        <f t="shared" si="1"/>
        <v>122644576</v>
      </c>
      <c r="E7" s="382">
        <v>105144214</v>
      </c>
      <c r="F7" s="382">
        <v>11309662</v>
      </c>
      <c r="G7" s="382">
        <f t="shared" si="0"/>
        <v>116453876</v>
      </c>
      <c r="H7" s="382">
        <f t="shared" si="2"/>
        <v>6190700</v>
      </c>
      <c r="I7" s="382">
        <v>1321354</v>
      </c>
      <c r="J7" s="382">
        <f t="shared" si="3"/>
        <v>117775230</v>
      </c>
      <c r="K7" s="382">
        <f t="shared" si="4"/>
        <v>4869346</v>
      </c>
    </row>
    <row r="8" spans="1:11" s="275" customFormat="1" x14ac:dyDescent="0.25">
      <c r="A8" s="381" t="s">
        <v>58</v>
      </c>
      <c r="B8" s="382">
        <v>101897204</v>
      </c>
      <c r="C8" s="382">
        <v>92992436</v>
      </c>
      <c r="D8" s="383">
        <f t="shared" si="1"/>
        <v>194889640</v>
      </c>
      <c r="E8" s="382">
        <v>80128673</v>
      </c>
      <c r="F8" s="382">
        <v>76205207</v>
      </c>
      <c r="G8" s="382">
        <f t="shared" si="0"/>
        <v>156333880</v>
      </c>
      <c r="H8" s="382">
        <f t="shared" si="2"/>
        <v>38555760</v>
      </c>
      <c r="I8" s="382">
        <v>1208796</v>
      </c>
      <c r="J8" s="382">
        <f t="shared" si="3"/>
        <v>157542676</v>
      </c>
      <c r="K8" s="382">
        <f t="shared" si="4"/>
        <v>37346964</v>
      </c>
    </row>
    <row r="9" spans="1:11" s="275" customFormat="1" x14ac:dyDescent="0.25">
      <c r="A9" s="381" t="s">
        <v>59</v>
      </c>
      <c r="B9" s="382">
        <v>28405865</v>
      </c>
      <c r="C9" s="382">
        <v>10667823</v>
      </c>
      <c r="D9" s="383">
        <f t="shared" si="1"/>
        <v>39073688</v>
      </c>
      <c r="E9" s="382">
        <v>24867520</v>
      </c>
      <c r="F9" s="382">
        <v>9416647</v>
      </c>
      <c r="G9" s="382">
        <f t="shared" si="0"/>
        <v>34284167</v>
      </c>
      <c r="H9" s="382">
        <f t="shared" si="2"/>
        <v>4789521</v>
      </c>
      <c r="I9" s="382">
        <v>346380</v>
      </c>
      <c r="J9" s="382">
        <f t="shared" si="3"/>
        <v>34630547</v>
      </c>
      <c r="K9" s="382">
        <f t="shared" si="4"/>
        <v>4443141</v>
      </c>
    </row>
    <row r="10" spans="1:11" s="275" customFormat="1" x14ac:dyDescent="0.25">
      <c r="A10" s="381" t="s">
        <v>60</v>
      </c>
      <c r="B10" s="382">
        <v>109360257</v>
      </c>
      <c r="C10" s="382">
        <v>6423662</v>
      </c>
      <c r="D10" s="383">
        <f t="shared" si="1"/>
        <v>115783919</v>
      </c>
      <c r="E10" s="382">
        <v>107611229</v>
      </c>
      <c r="F10" s="382">
        <v>5177501</v>
      </c>
      <c r="G10" s="382">
        <f t="shared" si="0"/>
        <v>112788730</v>
      </c>
      <c r="H10" s="382">
        <f t="shared" si="2"/>
        <v>2995189</v>
      </c>
      <c r="I10" s="382">
        <v>1106988</v>
      </c>
      <c r="J10" s="382">
        <f t="shared" si="3"/>
        <v>113895718</v>
      </c>
      <c r="K10" s="382">
        <f t="shared" si="4"/>
        <v>1888201</v>
      </c>
    </row>
    <row r="11" spans="1:11" s="275" customFormat="1" x14ac:dyDescent="0.25">
      <c r="A11" s="381" t="s">
        <v>61</v>
      </c>
      <c r="B11" s="382">
        <v>69787412</v>
      </c>
      <c r="C11" s="382">
        <v>21597839</v>
      </c>
      <c r="D11" s="383">
        <f t="shared" si="1"/>
        <v>91385251</v>
      </c>
      <c r="E11" s="382">
        <v>65523939</v>
      </c>
      <c r="F11" s="382">
        <v>21360361</v>
      </c>
      <c r="G11" s="382">
        <f t="shared" si="0"/>
        <v>86884300</v>
      </c>
      <c r="H11" s="382">
        <f t="shared" si="2"/>
        <v>4500951</v>
      </c>
      <c r="I11" s="382">
        <v>1025354</v>
      </c>
      <c r="J11" s="382">
        <f t="shared" si="3"/>
        <v>87909654</v>
      </c>
      <c r="K11" s="382">
        <f t="shared" si="4"/>
        <v>3475597</v>
      </c>
    </row>
    <row r="12" spans="1:11" s="296" customFormat="1" x14ac:dyDescent="0.25">
      <c r="A12" s="473" t="s">
        <v>102</v>
      </c>
      <c r="B12" s="476">
        <f>SUM(B4:B11)</f>
        <v>559753590</v>
      </c>
      <c r="C12" s="476">
        <v>222114238</v>
      </c>
      <c r="D12" s="476">
        <f t="shared" si="1"/>
        <v>781867828</v>
      </c>
      <c r="E12" s="476">
        <f>SUM(E4:E11)</f>
        <v>493825324</v>
      </c>
      <c r="F12" s="476">
        <f>SUM(F4:F11)</f>
        <v>199771471</v>
      </c>
      <c r="G12" s="476">
        <f t="shared" si="0"/>
        <v>693596795</v>
      </c>
      <c r="H12" s="476">
        <f>SUM(H4:H11)</f>
        <v>88271033</v>
      </c>
      <c r="I12" s="476">
        <f>SUM(I4:I11)</f>
        <v>6816423</v>
      </c>
      <c r="J12" s="476">
        <f>SUM(J4:J11)</f>
        <v>700413218</v>
      </c>
      <c r="K12" s="476">
        <f>SUM(K4:K11)</f>
        <v>81454610</v>
      </c>
    </row>
    <row r="13" spans="1:11" s="275" customFormat="1" x14ac:dyDescent="0.25">
      <c r="A13" s="386" t="s">
        <v>105</v>
      </c>
      <c r="B13" s="381"/>
      <c r="C13" s="382">
        <v>4532944</v>
      </c>
      <c r="D13" s="383">
        <f t="shared" si="1"/>
        <v>4532944</v>
      </c>
      <c r="E13" s="381"/>
      <c r="F13" s="382">
        <v>4076969</v>
      </c>
      <c r="G13" s="382">
        <f t="shared" si="0"/>
        <v>4076969</v>
      </c>
      <c r="H13" s="382">
        <f>D13-G13</f>
        <v>455975</v>
      </c>
      <c r="I13" s="381"/>
      <c r="J13" s="382">
        <f t="shared" si="3"/>
        <v>4076969</v>
      </c>
      <c r="K13" s="382">
        <f t="shared" ref="K13:K14" si="5">D13-J13</f>
        <v>455975</v>
      </c>
    </row>
    <row r="14" spans="1:11" s="275" customFormat="1" x14ac:dyDescent="0.25">
      <c r="A14" s="386" t="s">
        <v>111</v>
      </c>
      <c r="B14" s="381"/>
      <c r="C14" s="382"/>
      <c r="D14" s="383"/>
      <c r="E14" s="381"/>
      <c r="F14" s="382"/>
      <c r="G14" s="382"/>
      <c r="H14" s="382"/>
      <c r="I14" s="382">
        <v>801685</v>
      </c>
      <c r="J14" s="382">
        <f t="shared" si="3"/>
        <v>801685</v>
      </c>
      <c r="K14" s="382">
        <f t="shared" si="5"/>
        <v>-801685</v>
      </c>
    </row>
    <row r="15" spans="1:11" s="296" customFormat="1" x14ac:dyDescent="0.25">
      <c r="A15" s="24" t="s">
        <v>12</v>
      </c>
      <c r="B15" s="387">
        <f>SUM(B12:B13)</f>
        <v>559753590</v>
      </c>
      <c r="C15" s="384">
        <f>SUM(C12:C13)</f>
        <v>226647182</v>
      </c>
      <c r="D15" s="385">
        <f>SUM(D12:D13)</f>
        <v>786400772</v>
      </c>
      <c r="E15" s="387">
        <f>SUM(E12:E13)</f>
        <v>493825324</v>
      </c>
      <c r="F15" s="384">
        <f>SUM(F12:F13)</f>
        <v>203848440</v>
      </c>
      <c r="G15" s="384">
        <f>SUM(E15:F15)</f>
        <v>697673764</v>
      </c>
      <c r="H15" s="384">
        <f>SUM(H12:H13)</f>
        <v>88727008</v>
      </c>
      <c r="I15" s="387">
        <f>SUM(I12:I14)</f>
        <v>7618108</v>
      </c>
      <c r="J15" s="384">
        <f>SUM(J12:J14)</f>
        <v>705291872</v>
      </c>
      <c r="K15" s="384">
        <f>SUM(K12:K13)</f>
        <v>81910585</v>
      </c>
    </row>
    <row r="16" spans="1:11" s="275" customFormat="1" x14ac:dyDescent="0.25">
      <c r="D16" s="388"/>
      <c r="H16" s="389">
        <f>D15/G15</f>
        <v>1.1271754974578634</v>
      </c>
      <c r="J16" s="389">
        <f>D15/J15</f>
        <v>1.1150004745836628</v>
      </c>
      <c r="K16"/>
    </row>
    <row r="17" spans="1:10" s="275" customFormat="1" x14ac:dyDescent="0.25">
      <c r="D17" s="388"/>
    </row>
    <row r="18" spans="1:10" x14ac:dyDescent="0.25">
      <c r="D18" s="388"/>
    </row>
    <row r="19" spans="1:10" x14ac:dyDescent="0.25">
      <c r="A19" s="174" t="s">
        <v>115</v>
      </c>
      <c r="D19" s="383">
        <v>90927000</v>
      </c>
      <c r="G19" s="382">
        <v>85175420</v>
      </c>
      <c r="J19" s="382">
        <v>85977105</v>
      </c>
    </row>
    <row r="20" spans="1:10" x14ac:dyDescent="0.25">
      <c r="A20" s="174" t="s">
        <v>116</v>
      </c>
      <c r="D20" s="390">
        <f>D19/D15</f>
        <v>0.11562425068423</v>
      </c>
      <c r="G20" s="391">
        <f>G19/G15</f>
        <v>0.12208488321484309</v>
      </c>
      <c r="J20" s="391">
        <f>J19/J15</f>
        <v>0.12190287229057986</v>
      </c>
    </row>
    <row r="22" spans="1:10" x14ac:dyDescent="0.25">
      <c r="D22" s="392"/>
    </row>
  </sheetData>
  <pageMargins left="0.7" right="0.7" top="0.78740157499999996" bottom="0.78740157499999996" header="0.3" footer="0.3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216"/>
  <sheetViews>
    <sheetView zoomScaleNormal="100" workbookViewId="0">
      <pane xSplit="2" topLeftCell="N1" activePane="topRight" state="frozen"/>
      <selection pane="topRight"/>
    </sheetView>
  </sheetViews>
  <sheetFormatPr defaultColWidth="9.140625" defaultRowHeight="15" x14ac:dyDescent="0.25"/>
  <cols>
    <col min="1" max="1" width="36.5703125" style="29" customWidth="1"/>
    <col min="2" max="2" width="38.140625" style="29" bestFit="1" customWidth="1"/>
    <col min="3" max="3" width="12.85546875" style="30" bestFit="1" customWidth="1"/>
    <col min="4" max="4" width="11.85546875" style="31" bestFit="1" customWidth="1"/>
    <col min="5" max="5" width="12.85546875" style="30" bestFit="1" customWidth="1"/>
    <col min="6" max="6" width="12.5703125" style="30" bestFit="1" customWidth="1"/>
    <col min="7" max="7" width="12.140625" style="29" bestFit="1" customWidth="1"/>
    <col min="8" max="8" width="12.42578125" style="29" bestFit="1" customWidth="1"/>
    <col min="9" max="9" width="10.28515625" style="29" bestFit="1" customWidth="1"/>
    <col min="10" max="10" width="12.85546875" style="29" bestFit="1" customWidth="1"/>
    <col min="11" max="11" width="12.85546875" style="33" customWidth="1"/>
    <col min="12" max="12" width="14.28515625" style="33" customWidth="1"/>
    <col min="13" max="16" width="12.85546875" style="33" customWidth="1"/>
    <col min="17" max="17" width="3.28515625" customWidth="1"/>
    <col min="18" max="18" width="12.85546875" style="30" bestFit="1" customWidth="1"/>
    <col min="19" max="19" width="12.5703125" style="30" bestFit="1" customWidth="1"/>
    <col min="20" max="20" width="12.140625" style="29" bestFit="1" customWidth="1"/>
    <col min="21" max="21" width="12.42578125" style="29" bestFit="1" customWidth="1"/>
    <col min="22" max="22" width="10.28515625" style="29" bestFit="1" customWidth="1"/>
    <col min="23" max="23" width="12.85546875" style="29" bestFit="1" customWidth="1"/>
    <col min="24" max="25" width="9.140625" style="32"/>
    <col min="26" max="16384" width="9.140625" style="33"/>
  </cols>
  <sheetData>
    <row r="1" spans="1:25" s="339" customFormat="1" ht="15.75" x14ac:dyDescent="0.25">
      <c r="A1" s="335" t="s">
        <v>403</v>
      </c>
      <c r="B1" s="336"/>
      <c r="C1" s="337"/>
      <c r="D1" s="338"/>
      <c r="E1" s="337"/>
      <c r="F1" s="337"/>
      <c r="G1" s="336"/>
      <c r="H1" s="336"/>
      <c r="I1" s="336"/>
      <c r="J1" s="336"/>
      <c r="Q1"/>
      <c r="R1" s="337"/>
      <c r="S1" s="337"/>
      <c r="T1" s="336"/>
      <c r="U1" s="336"/>
      <c r="V1" s="336"/>
      <c r="W1" s="336"/>
    </row>
    <row r="2" spans="1:25" ht="15.75" thickBot="1" x14ac:dyDescent="0.3"/>
    <row r="3" spans="1:25" s="37" customFormat="1" ht="15" customHeight="1" thickBot="1" x14ac:dyDescent="0.3">
      <c r="A3" s="34"/>
      <c r="B3" s="34"/>
      <c r="C3" s="35" t="s">
        <v>123</v>
      </c>
      <c r="D3" s="36" t="s">
        <v>124</v>
      </c>
      <c r="E3" s="531" t="s">
        <v>125</v>
      </c>
      <c r="F3" s="531"/>
      <c r="G3" s="531"/>
      <c r="H3" s="531"/>
      <c r="I3" s="532"/>
      <c r="J3" s="532"/>
      <c r="K3" s="533" t="s">
        <v>126</v>
      </c>
      <c r="L3" s="534"/>
      <c r="M3" s="534"/>
      <c r="N3" s="534"/>
      <c r="O3" s="535"/>
      <c r="P3" s="536"/>
      <c r="Q3" s="495"/>
      <c r="R3" s="531" t="s">
        <v>127</v>
      </c>
      <c r="S3" s="531"/>
      <c r="T3" s="531"/>
      <c r="U3" s="531"/>
      <c r="V3" s="532"/>
      <c r="W3" s="532"/>
      <c r="X3" s="32"/>
      <c r="Y3" s="32"/>
    </row>
    <row r="4" spans="1:25" s="47" customFormat="1" ht="60.75" thickBot="1" x14ac:dyDescent="0.3">
      <c r="A4" s="38" t="s">
        <v>128</v>
      </c>
      <c r="B4" s="38" t="s">
        <v>129</v>
      </c>
      <c r="C4" s="39" t="s">
        <v>130</v>
      </c>
      <c r="D4" s="40" t="s">
        <v>131</v>
      </c>
      <c r="E4" s="41" t="s">
        <v>132</v>
      </c>
      <c r="F4" s="39" t="s">
        <v>133</v>
      </c>
      <c r="G4" s="38" t="s">
        <v>134</v>
      </c>
      <c r="H4" s="38" t="s">
        <v>135</v>
      </c>
      <c r="I4" s="38" t="s">
        <v>136</v>
      </c>
      <c r="J4" s="38" t="s">
        <v>137</v>
      </c>
      <c r="K4" s="42" t="s">
        <v>138</v>
      </c>
      <c r="L4" s="43" t="s">
        <v>139</v>
      </c>
      <c r="M4" s="44" t="s">
        <v>140</v>
      </c>
      <c r="N4" s="44" t="s">
        <v>141</v>
      </c>
      <c r="O4" s="44" t="s">
        <v>142</v>
      </c>
      <c r="P4" s="45" t="s">
        <v>143</v>
      </c>
      <c r="Q4" s="495"/>
      <c r="R4" s="41" t="s">
        <v>144</v>
      </c>
      <c r="S4" s="39" t="s">
        <v>145</v>
      </c>
      <c r="T4" s="38" t="s">
        <v>146</v>
      </c>
      <c r="U4" s="38" t="s">
        <v>147</v>
      </c>
      <c r="V4" s="38" t="s">
        <v>148</v>
      </c>
      <c r="W4" s="38" t="s">
        <v>149</v>
      </c>
      <c r="X4" s="46"/>
      <c r="Y4" s="46"/>
    </row>
    <row r="5" spans="1:25" x14ac:dyDescent="0.25">
      <c r="A5" s="48" t="s">
        <v>150</v>
      </c>
      <c r="B5" s="48" t="s">
        <v>151</v>
      </c>
      <c r="C5" s="49">
        <v>200</v>
      </c>
      <c r="D5" s="50">
        <f>F5-C5</f>
        <v>-60</v>
      </c>
      <c r="E5" s="49">
        <f>30+200</f>
        <v>230</v>
      </c>
      <c r="F5" s="49">
        <f>E5-G5-I5-J5</f>
        <v>140</v>
      </c>
      <c r="G5" s="51"/>
      <c r="H5" s="51"/>
      <c r="I5" s="51">
        <f>30+60</f>
        <v>90</v>
      </c>
      <c r="J5" s="51"/>
      <c r="K5" s="52">
        <f>30+200</f>
        <v>230</v>
      </c>
      <c r="L5" s="53">
        <f>K5-M5-O5-P5</f>
        <v>140</v>
      </c>
      <c r="M5" s="53"/>
      <c r="N5" s="53"/>
      <c r="O5" s="53">
        <f>30+60</f>
        <v>90</v>
      </c>
      <c r="P5" s="54"/>
      <c r="Q5" s="495"/>
      <c r="R5" s="49">
        <f>230+25-10</f>
        <v>245</v>
      </c>
      <c r="S5" s="53">
        <f>140+25-10</f>
        <v>155</v>
      </c>
      <c r="T5" s="51"/>
      <c r="U5" s="51"/>
      <c r="V5" s="51">
        <v>90</v>
      </c>
      <c r="W5" s="51"/>
      <c r="X5" s="29"/>
      <c r="Y5" s="29"/>
    </row>
    <row r="6" spans="1:25" x14ac:dyDescent="0.25">
      <c r="A6" s="48" t="s">
        <v>152</v>
      </c>
      <c r="B6" s="48" t="s">
        <v>153</v>
      </c>
      <c r="C6" s="55">
        <f>38407+101</f>
        <v>38508</v>
      </c>
      <c r="D6" s="50">
        <f t="shared" ref="D6:D71" si="0">F6-C6</f>
        <v>-82.279999999998836</v>
      </c>
      <c r="E6" s="49">
        <f>36764+101+289.44+230+1186</f>
        <v>38570.44</v>
      </c>
      <c r="F6" s="49">
        <f t="shared" ref="F6:F71" si="1">E6-G6-I6-J6</f>
        <v>38425.72</v>
      </c>
      <c r="G6" s="51">
        <v>144.72</v>
      </c>
      <c r="H6" s="51"/>
      <c r="I6" s="51"/>
      <c r="J6" s="51"/>
      <c r="K6" s="56">
        <f>36764+101+289.44+230+1186</f>
        <v>38570.44</v>
      </c>
      <c r="L6" s="51">
        <f t="shared" ref="L6:L71" si="2">K6-M6-O6-P6</f>
        <v>38425.72</v>
      </c>
      <c r="M6" s="51">
        <v>144.72</v>
      </c>
      <c r="N6" s="51"/>
      <c r="O6" s="51"/>
      <c r="P6" s="57"/>
      <c r="Q6" s="495"/>
      <c r="R6" s="58">
        <f>42038-32</f>
        <v>42006</v>
      </c>
      <c r="S6" s="59">
        <f>42038-32</f>
        <v>42006</v>
      </c>
      <c r="T6" s="51"/>
      <c r="U6" s="51"/>
      <c r="V6" s="51"/>
      <c r="W6" s="51"/>
      <c r="X6" s="29"/>
      <c r="Y6" s="29"/>
    </row>
    <row r="7" spans="1:25" x14ac:dyDescent="0.25">
      <c r="A7" s="48" t="s">
        <v>154</v>
      </c>
      <c r="B7" s="48" t="s">
        <v>155</v>
      </c>
      <c r="C7" s="49">
        <v>25</v>
      </c>
      <c r="D7" s="50">
        <f t="shared" si="0"/>
        <v>-25</v>
      </c>
      <c r="E7" s="49">
        <v>0</v>
      </c>
      <c r="F7" s="49">
        <f t="shared" si="1"/>
        <v>0</v>
      </c>
      <c r="G7" s="51"/>
      <c r="H7" s="51"/>
      <c r="I7" s="51"/>
      <c r="J7" s="51"/>
      <c r="K7" s="56">
        <v>0</v>
      </c>
      <c r="L7" s="51">
        <f t="shared" si="2"/>
        <v>0</v>
      </c>
      <c r="M7" s="51"/>
      <c r="N7" s="51"/>
      <c r="O7" s="51"/>
      <c r="P7" s="57"/>
      <c r="Q7" s="495"/>
      <c r="R7" s="49">
        <v>0</v>
      </c>
      <c r="S7" s="49">
        <v>0</v>
      </c>
      <c r="T7" s="51"/>
      <c r="U7" s="51"/>
      <c r="V7" s="51"/>
      <c r="W7" s="51"/>
      <c r="X7" s="29"/>
      <c r="Y7" s="29"/>
    </row>
    <row r="8" spans="1:25" x14ac:dyDescent="0.25">
      <c r="A8" s="48" t="s">
        <v>156</v>
      </c>
      <c r="B8" s="48" t="s">
        <v>157</v>
      </c>
      <c r="C8" s="49">
        <v>245</v>
      </c>
      <c r="D8" s="50">
        <f t="shared" si="0"/>
        <v>97.699999999999989</v>
      </c>
      <c r="E8" s="49">
        <v>347.7</v>
      </c>
      <c r="F8" s="49">
        <f t="shared" si="1"/>
        <v>342.7</v>
      </c>
      <c r="G8" s="51"/>
      <c r="H8" s="51"/>
      <c r="I8" s="51">
        <v>5</v>
      </c>
      <c r="J8" s="51"/>
      <c r="K8" s="56">
        <v>347.7</v>
      </c>
      <c r="L8" s="51">
        <f t="shared" si="2"/>
        <v>342.7</v>
      </c>
      <c r="M8" s="51"/>
      <c r="N8" s="51"/>
      <c r="O8" s="51">
        <v>5</v>
      </c>
      <c r="P8" s="57"/>
      <c r="Q8" s="495"/>
      <c r="R8" s="49">
        <v>264</v>
      </c>
      <c r="S8" s="49">
        <v>259</v>
      </c>
      <c r="T8" s="51"/>
      <c r="U8" s="51"/>
      <c r="V8" s="51">
        <v>5</v>
      </c>
      <c r="W8" s="51"/>
      <c r="X8" s="29"/>
      <c r="Y8" s="29"/>
    </row>
    <row r="9" spans="1:25" x14ac:dyDescent="0.25">
      <c r="A9" s="48" t="s">
        <v>158</v>
      </c>
      <c r="B9" s="48" t="s">
        <v>159</v>
      </c>
      <c r="C9" s="49">
        <v>236</v>
      </c>
      <c r="D9" s="50">
        <f t="shared" si="0"/>
        <v>-236</v>
      </c>
      <c r="E9" s="49"/>
      <c r="F9" s="49">
        <f t="shared" si="1"/>
        <v>0</v>
      </c>
      <c r="G9" s="51"/>
      <c r="H9" s="51"/>
      <c r="I9" s="51"/>
      <c r="J9" s="51"/>
      <c r="K9" s="56"/>
      <c r="L9" s="51">
        <f t="shared" si="2"/>
        <v>0</v>
      </c>
      <c r="M9" s="51"/>
      <c r="N9" s="51"/>
      <c r="O9" s="51"/>
      <c r="P9" s="57"/>
      <c r="Q9" s="495"/>
      <c r="R9" s="49">
        <v>145</v>
      </c>
      <c r="S9" s="49">
        <v>135</v>
      </c>
      <c r="T9" s="51"/>
      <c r="U9" s="51"/>
      <c r="V9" s="51">
        <v>10</v>
      </c>
      <c r="W9" s="51"/>
      <c r="X9" s="29"/>
      <c r="Y9" s="29"/>
    </row>
    <row r="10" spans="1:25" x14ac:dyDescent="0.25">
      <c r="A10" s="48" t="s">
        <v>160</v>
      </c>
      <c r="B10" s="48" t="s">
        <v>161</v>
      </c>
      <c r="C10" s="55">
        <f>149-101</f>
        <v>48</v>
      </c>
      <c r="D10" s="50">
        <f t="shared" si="0"/>
        <v>0</v>
      </c>
      <c r="E10" s="49">
        <v>54</v>
      </c>
      <c r="F10" s="49">
        <f t="shared" si="1"/>
        <v>48</v>
      </c>
      <c r="G10" s="51"/>
      <c r="H10" s="51"/>
      <c r="I10" s="51">
        <v>6</v>
      </c>
      <c r="J10" s="51"/>
      <c r="K10" s="56">
        <v>54</v>
      </c>
      <c r="L10" s="51">
        <f t="shared" si="2"/>
        <v>48</v>
      </c>
      <c r="M10" s="51"/>
      <c r="N10" s="51"/>
      <c r="O10" s="51">
        <v>6</v>
      </c>
      <c r="P10" s="57"/>
      <c r="Q10" s="495"/>
      <c r="R10" s="49">
        <v>54</v>
      </c>
      <c r="S10" s="49">
        <v>48</v>
      </c>
      <c r="T10" s="51"/>
      <c r="U10" s="51"/>
      <c r="V10" s="51">
        <v>6</v>
      </c>
      <c r="W10" s="51"/>
      <c r="X10" s="29"/>
      <c r="Y10" s="29"/>
    </row>
    <row r="11" spans="1:25" x14ac:dyDescent="0.25">
      <c r="A11" s="48" t="s">
        <v>162</v>
      </c>
      <c r="B11" s="48" t="s">
        <v>163</v>
      </c>
      <c r="C11" s="49">
        <v>0</v>
      </c>
      <c r="D11" s="50">
        <f t="shared" si="0"/>
        <v>0</v>
      </c>
      <c r="E11" s="49">
        <v>51</v>
      </c>
      <c r="F11" s="49">
        <f t="shared" si="1"/>
        <v>0</v>
      </c>
      <c r="G11" s="51"/>
      <c r="H11" s="51"/>
      <c r="I11" s="51">
        <v>51</v>
      </c>
      <c r="J11" s="51"/>
      <c r="K11" s="56">
        <v>51</v>
      </c>
      <c r="L11" s="51">
        <f t="shared" si="2"/>
        <v>0</v>
      </c>
      <c r="M11" s="51"/>
      <c r="N11" s="51"/>
      <c r="O11" s="51">
        <v>51</v>
      </c>
      <c r="P11" s="57"/>
      <c r="Q11" s="495"/>
      <c r="R11" s="49">
        <v>58</v>
      </c>
      <c r="S11" s="49">
        <v>0</v>
      </c>
      <c r="T11" s="51"/>
      <c r="U11" s="51"/>
      <c r="V11" s="51">
        <v>58</v>
      </c>
      <c r="W11" s="51"/>
      <c r="X11" s="29"/>
      <c r="Y11" s="29"/>
    </row>
    <row r="12" spans="1:25" x14ac:dyDescent="0.25">
      <c r="A12" s="48" t="s">
        <v>164</v>
      </c>
      <c r="B12" s="48" t="s">
        <v>165</v>
      </c>
      <c r="C12" s="49">
        <v>70</v>
      </c>
      <c r="D12" s="50">
        <f t="shared" si="0"/>
        <v>-8</v>
      </c>
      <c r="E12" s="49">
        <v>70</v>
      </c>
      <c r="F12" s="49">
        <f t="shared" si="1"/>
        <v>62</v>
      </c>
      <c r="G12" s="51"/>
      <c r="H12" s="51"/>
      <c r="I12" s="51">
        <v>8</v>
      </c>
      <c r="J12" s="51"/>
      <c r="K12" s="56">
        <v>70</v>
      </c>
      <c r="L12" s="51">
        <f t="shared" si="2"/>
        <v>62</v>
      </c>
      <c r="M12" s="51"/>
      <c r="N12" s="51"/>
      <c r="O12" s="51">
        <v>8</v>
      </c>
      <c r="P12" s="57"/>
      <c r="Q12" s="495"/>
      <c r="R12" s="49">
        <v>106</v>
      </c>
      <c r="S12" s="49">
        <v>96</v>
      </c>
      <c r="T12" s="51"/>
      <c r="U12" s="51"/>
      <c r="V12" s="51">
        <v>10</v>
      </c>
      <c r="W12" s="51"/>
      <c r="X12" s="29"/>
      <c r="Y12" s="29"/>
    </row>
    <row r="13" spans="1:25" x14ac:dyDescent="0.25">
      <c r="A13" s="48" t="s">
        <v>166</v>
      </c>
      <c r="B13" s="48" t="s">
        <v>167</v>
      </c>
      <c r="C13" s="49">
        <v>695</v>
      </c>
      <c r="D13" s="50">
        <f t="shared" si="0"/>
        <v>137.5</v>
      </c>
      <c r="E13" s="49">
        <f>369.5+465</f>
        <v>834.5</v>
      </c>
      <c r="F13" s="49">
        <f t="shared" si="1"/>
        <v>832.5</v>
      </c>
      <c r="G13" s="51"/>
      <c r="H13" s="51"/>
      <c r="I13" s="51">
        <v>2</v>
      </c>
      <c r="J13" s="51"/>
      <c r="K13" s="56">
        <f>369.5+465</f>
        <v>834.5</v>
      </c>
      <c r="L13" s="51">
        <f t="shared" si="2"/>
        <v>832.5</v>
      </c>
      <c r="M13" s="51"/>
      <c r="N13" s="51"/>
      <c r="O13" s="51">
        <v>2</v>
      </c>
      <c r="P13" s="57"/>
      <c r="Q13" s="495"/>
      <c r="R13" s="49">
        <v>1403</v>
      </c>
      <c r="S13" s="49">
        <f>322+935+143</f>
        <v>1400</v>
      </c>
      <c r="T13" s="51"/>
      <c r="U13" s="51"/>
      <c r="V13" s="51">
        <v>3</v>
      </c>
      <c r="W13" s="51"/>
      <c r="X13" s="29"/>
      <c r="Y13" s="29"/>
    </row>
    <row r="14" spans="1:25" x14ac:dyDescent="0.25">
      <c r="A14" s="48" t="s">
        <v>168</v>
      </c>
      <c r="B14" s="48" t="s">
        <v>169</v>
      </c>
      <c r="C14" s="49">
        <v>1950</v>
      </c>
      <c r="D14" s="50">
        <f t="shared" si="0"/>
        <v>5</v>
      </c>
      <c r="E14" s="49">
        <v>2470</v>
      </c>
      <c r="F14" s="49">
        <f t="shared" si="1"/>
        <v>1955</v>
      </c>
      <c r="G14" s="51"/>
      <c r="H14" s="51"/>
      <c r="I14" s="51"/>
      <c r="J14" s="51">
        <v>515</v>
      </c>
      <c r="K14" s="56">
        <v>2470</v>
      </c>
      <c r="L14" s="51">
        <f t="shared" si="2"/>
        <v>1955</v>
      </c>
      <c r="M14" s="51"/>
      <c r="N14" s="51"/>
      <c r="O14" s="51"/>
      <c r="P14" s="57">
        <v>515</v>
      </c>
      <c r="Q14" s="495"/>
      <c r="R14" s="49">
        <f>2307+595-120</f>
        <v>2782</v>
      </c>
      <c r="S14" s="49">
        <f>2307+595-120</f>
        <v>2782</v>
      </c>
      <c r="T14" s="51"/>
      <c r="U14" s="51"/>
      <c r="V14" s="51"/>
      <c r="W14" s="51"/>
      <c r="X14" s="29"/>
      <c r="Y14" s="29"/>
    </row>
    <row r="15" spans="1:25" x14ac:dyDescent="0.25">
      <c r="A15" s="48" t="s">
        <v>170</v>
      </c>
      <c r="B15" s="48" t="s">
        <v>171</v>
      </c>
      <c r="C15" s="55">
        <f>32+50-50</f>
        <v>32</v>
      </c>
      <c r="D15" s="50">
        <f t="shared" si="0"/>
        <v>41.5</v>
      </c>
      <c r="E15" s="49">
        <f>37+41.5</f>
        <v>78.5</v>
      </c>
      <c r="F15" s="49">
        <f t="shared" si="1"/>
        <v>73.5</v>
      </c>
      <c r="G15" s="51"/>
      <c r="H15" s="51">
        <v>900</v>
      </c>
      <c r="I15" s="51">
        <v>5</v>
      </c>
      <c r="J15" s="51"/>
      <c r="K15" s="56">
        <f>37+41.5</f>
        <v>78.5</v>
      </c>
      <c r="L15" s="51">
        <f t="shared" si="2"/>
        <v>73.5</v>
      </c>
      <c r="M15" s="51"/>
      <c r="N15" s="51">
        <v>900</v>
      </c>
      <c r="O15" s="51">
        <v>5</v>
      </c>
      <c r="P15" s="57"/>
      <c r="Q15" s="495"/>
      <c r="R15" s="49">
        <v>72</v>
      </c>
      <c r="S15" s="49">
        <f>74-7</f>
        <v>67</v>
      </c>
      <c r="T15" s="51"/>
      <c r="U15" s="51"/>
      <c r="V15" s="51">
        <v>5</v>
      </c>
      <c r="W15" s="51"/>
      <c r="X15" s="29"/>
      <c r="Y15" s="29"/>
    </row>
    <row r="16" spans="1:25" x14ac:dyDescent="0.25">
      <c r="A16" s="48" t="s">
        <v>172</v>
      </c>
      <c r="B16" s="48" t="s">
        <v>173</v>
      </c>
      <c r="C16" s="49">
        <v>32</v>
      </c>
      <c r="D16" s="50">
        <f t="shared" si="0"/>
        <v>0</v>
      </c>
      <c r="E16" s="49">
        <v>35</v>
      </c>
      <c r="F16" s="49">
        <f t="shared" si="1"/>
        <v>32</v>
      </c>
      <c r="G16" s="51"/>
      <c r="H16" s="51"/>
      <c r="I16" s="51">
        <v>3</v>
      </c>
      <c r="J16" s="51"/>
      <c r="K16" s="56">
        <v>35</v>
      </c>
      <c r="L16" s="51">
        <f t="shared" si="2"/>
        <v>32</v>
      </c>
      <c r="M16" s="51"/>
      <c r="N16" s="51"/>
      <c r="O16" s="51">
        <v>3</v>
      </c>
      <c r="P16" s="57"/>
      <c r="Q16" s="495"/>
      <c r="R16" s="49">
        <v>28</v>
      </c>
      <c r="S16" s="49">
        <f>32-7</f>
        <v>25</v>
      </c>
      <c r="T16" s="51"/>
      <c r="U16" s="51"/>
      <c r="V16" s="51">
        <v>3</v>
      </c>
      <c r="W16" s="51"/>
      <c r="X16" s="29"/>
      <c r="Y16" s="29"/>
    </row>
    <row r="17" spans="1:25" x14ac:dyDescent="0.25">
      <c r="A17" s="48" t="s">
        <v>174</v>
      </c>
      <c r="B17" s="48" t="s">
        <v>175</v>
      </c>
      <c r="C17" s="49">
        <v>250</v>
      </c>
      <c r="D17" s="50">
        <f t="shared" si="0"/>
        <v>0</v>
      </c>
      <c r="E17" s="49">
        <v>250</v>
      </c>
      <c r="F17" s="49">
        <f t="shared" si="1"/>
        <v>250</v>
      </c>
      <c r="G17" s="51"/>
      <c r="H17" s="51"/>
      <c r="I17" s="51"/>
      <c r="J17" s="51"/>
      <c r="K17" s="56">
        <v>250</v>
      </c>
      <c r="L17" s="51">
        <f t="shared" si="2"/>
        <v>250</v>
      </c>
      <c r="M17" s="51"/>
      <c r="N17" s="51"/>
      <c r="O17" s="51"/>
      <c r="P17" s="57"/>
      <c r="Q17" s="495"/>
      <c r="R17" s="49">
        <v>251</v>
      </c>
      <c r="S17" s="49">
        <v>250</v>
      </c>
      <c r="T17" s="51"/>
      <c r="U17" s="51"/>
      <c r="V17" s="51">
        <v>1</v>
      </c>
      <c r="W17" s="51"/>
      <c r="X17" s="29"/>
      <c r="Y17" s="29"/>
    </row>
    <row r="18" spans="1:25" x14ac:dyDescent="0.25">
      <c r="A18" s="48" t="s">
        <v>176</v>
      </c>
      <c r="B18" s="48" t="s">
        <v>177</v>
      </c>
      <c r="C18" s="49">
        <v>37</v>
      </c>
      <c r="D18" s="50">
        <f t="shared" si="0"/>
        <v>-1</v>
      </c>
      <c r="E18" s="49">
        <v>46</v>
      </c>
      <c r="F18" s="49">
        <f t="shared" si="1"/>
        <v>36</v>
      </c>
      <c r="G18" s="51"/>
      <c r="H18" s="51"/>
      <c r="I18" s="51">
        <v>10</v>
      </c>
      <c r="J18" s="51"/>
      <c r="K18" s="56">
        <v>46</v>
      </c>
      <c r="L18" s="51">
        <f t="shared" si="2"/>
        <v>36</v>
      </c>
      <c r="M18" s="51"/>
      <c r="N18" s="51"/>
      <c r="O18" s="51">
        <v>10</v>
      </c>
      <c r="P18" s="57"/>
      <c r="Q18" s="495"/>
      <c r="R18" s="49">
        <v>0</v>
      </c>
      <c r="S18" s="49">
        <v>0</v>
      </c>
      <c r="T18" s="51"/>
      <c r="U18" s="51"/>
      <c r="V18" s="51">
        <v>0</v>
      </c>
      <c r="W18" s="51"/>
      <c r="X18" s="29"/>
      <c r="Y18" s="29"/>
    </row>
    <row r="19" spans="1:25" x14ac:dyDescent="0.25">
      <c r="A19" s="60" t="s">
        <v>178</v>
      </c>
      <c r="B19" s="60" t="s">
        <v>179</v>
      </c>
      <c r="C19" s="49">
        <v>42</v>
      </c>
      <c r="D19" s="50">
        <f t="shared" si="0"/>
        <v>14</v>
      </c>
      <c r="E19" s="49">
        <v>66</v>
      </c>
      <c r="F19" s="49">
        <f t="shared" si="1"/>
        <v>56</v>
      </c>
      <c r="G19" s="51"/>
      <c r="H19" s="51"/>
      <c r="I19" s="51">
        <v>10</v>
      </c>
      <c r="J19" s="51"/>
      <c r="K19" s="56">
        <v>66</v>
      </c>
      <c r="L19" s="51">
        <f t="shared" si="2"/>
        <v>56</v>
      </c>
      <c r="M19" s="51"/>
      <c r="N19" s="51"/>
      <c r="O19" s="51">
        <v>10</v>
      </c>
      <c r="P19" s="57"/>
      <c r="Q19" s="495"/>
      <c r="R19" s="61">
        <v>45</v>
      </c>
      <c r="S19" s="61">
        <v>35</v>
      </c>
      <c r="T19" s="62"/>
      <c r="U19" s="62"/>
      <c r="V19" s="62">
        <v>10</v>
      </c>
      <c r="W19" s="62"/>
      <c r="X19" s="29"/>
      <c r="Y19" s="29"/>
    </row>
    <row r="20" spans="1:25" x14ac:dyDescent="0.25">
      <c r="A20" s="48" t="s">
        <v>180</v>
      </c>
      <c r="B20" s="48" t="s">
        <v>181</v>
      </c>
      <c r="C20" s="49">
        <v>40</v>
      </c>
      <c r="D20" s="50">
        <f t="shared" si="0"/>
        <v>0</v>
      </c>
      <c r="E20" s="49">
        <v>40</v>
      </c>
      <c r="F20" s="49">
        <f t="shared" si="1"/>
        <v>40</v>
      </c>
      <c r="G20" s="51"/>
      <c r="H20" s="51"/>
      <c r="I20" s="51"/>
      <c r="J20" s="51"/>
      <c r="K20" s="56">
        <v>40</v>
      </c>
      <c r="L20" s="51">
        <f t="shared" si="2"/>
        <v>40</v>
      </c>
      <c r="M20" s="51"/>
      <c r="N20" s="51"/>
      <c r="O20" s="51"/>
      <c r="P20" s="57"/>
      <c r="Q20" s="495"/>
      <c r="R20" s="49">
        <v>41</v>
      </c>
      <c r="S20" s="49">
        <v>41</v>
      </c>
      <c r="T20" s="51"/>
      <c r="U20" s="51"/>
      <c r="V20" s="51"/>
      <c r="W20" s="51"/>
      <c r="X20" s="29"/>
      <c r="Y20" s="29"/>
    </row>
    <row r="21" spans="1:25" x14ac:dyDescent="0.25">
      <c r="A21" s="48" t="s">
        <v>182</v>
      </c>
      <c r="B21" s="48" t="s">
        <v>183</v>
      </c>
      <c r="C21" s="49">
        <v>10</v>
      </c>
      <c r="D21" s="50">
        <f t="shared" si="0"/>
        <v>74</v>
      </c>
      <c r="E21" s="49">
        <v>94</v>
      </c>
      <c r="F21" s="49">
        <f t="shared" si="1"/>
        <v>84</v>
      </c>
      <c r="G21" s="51"/>
      <c r="H21" s="51">
        <v>56.3</v>
      </c>
      <c r="I21" s="51">
        <v>10</v>
      </c>
      <c r="J21" s="51"/>
      <c r="K21" s="56">
        <v>94</v>
      </c>
      <c r="L21" s="51">
        <f t="shared" si="2"/>
        <v>84</v>
      </c>
      <c r="M21" s="51"/>
      <c r="N21" s="51">
        <v>56.3</v>
      </c>
      <c r="O21" s="51">
        <v>10</v>
      </c>
      <c r="P21" s="57"/>
      <c r="Q21" s="495"/>
      <c r="R21" s="49">
        <v>94</v>
      </c>
      <c r="S21" s="49">
        <v>84</v>
      </c>
      <c r="T21" s="51"/>
      <c r="U21" s="51"/>
      <c r="V21" s="51">
        <v>10</v>
      </c>
      <c r="W21" s="51"/>
      <c r="X21" s="29"/>
      <c r="Y21" s="29"/>
    </row>
    <row r="22" spans="1:25" x14ac:dyDescent="0.25">
      <c r="A22" s="48" t="s">
        <v>184</v>
      </c>
      <c r="B22" s="48" t="s">
        <v>185</v>
      </c>
      <c r="C22" s="49"/>
      <c r="D22" s="50"/>
      <c r="E22" s="49"/>
      <c r="F22" s="49"/>
      <c r="G22" s="51"/>
      <c r="H22" s="51"/>
      <c r="I22" s="51"/>
      <c r="J22" s="51"/>
      <c r="K22" s="56"/>
      <c r="L22" s="51"/>
      <c r="M22" s="51"/>
      <c r="N22" s="51"/>
      <c r="O22" s="51"/>
      <c r="P22" s="57"/>
      <c r="Q22" s="495"/>
      <c r="R22" s="58">
        <v>32</v>
      </c>
      <c r="S22" s="58">
        <v>32</v>
      </c>
      <c r="T22" s="51"/>
      <c r="U22" s="51"/>
      <c r="V22" s="51"/>
      <c r="W22" s="51"/>
      <c r="X22" s="29"/>
      <c r="Y22" s="29"/>
    </row>
    <row r="23" spans="1:25" x14ac:dyDescent="0.25">
      <c r="A23" s="48" t="s">
        <v>186</v>
      </c>
      <c r="B23" s="48" t="s">
        <v>187</v>
      </c>
      <c r="C23" s="49">
        <v>30</v>
      </c>
      <c r="D23" s="50">
        <f t="shared" si="0"/>
        <v>0</v>
      </c>
      <c r="E23" s="49">
        <v>30</v>
      </c>
      <c r="F23" s="49">
        <f t="shared" si="1"/>
        <v>30</v>
      </c>
      <c r="G23" s="51"/>
      <c r="H23" s="51"/>
      <c r="I23" s="51"/>
      <c r="J23" s="51"/>
      <c r="K23" s="56">
        <v>30</v>
      </c>
      <c r="L23" s="51">
        <f t="shared" si="2"/>
        <v>30</v>
      </c>
      <c r="M23" s="51"/>
      <c r="N23" s="51"/>
      <c r="O23" s="51"/>
      <c r="P23" s="57"/>
      <c r="Q23" s="495"/>
      <c r="R23" s="49">
        <v>70</v>
      </c>
      <c r="S23" s="49">
        <v>70</v>
      </c>
      <c r="T23" s="51"/>
      <c r="U23" s="51"/>
      <c r="V23" s="51"/>
      <c r="W23" s="51"/>
      <c r="X23" s="29"/>
      <c r="Y23" s="29"/>
    </row>
    <row r="24" spans="1:25" x14ac:dyDescent="0.25">
      <c r="A24" s="48" t="s">
        <v>188</v>
      </c>
      <c r="B24" s="48" t="s">
        <v>189</v>
      </c>
      <c r="C24" s="49">
        <v>25.5</v>
      </c>
      <c r="D24" s="50">
        <f t="shared" si="0"/>
        <v>2</v>
      </c>
      <c r="E24" s="49">
        <v>27.5</v>
      </c>
      <c r="F24" s="49">
        <f t="shared" si="1"/>
        <v>27.5</v>
      </c>
      <c r="G24" s="51"/>
      <c r="H24" s="51"/>
      <c r="I24" s="51"/>
      <c r="J24" s="51"/>
      <c r="K24" s="56">
        <v>27.5</v>
      </c>
      <c r="L24" s="51">
        <f t="shared" si="2"/>
        <v>27.5</v>
      </c>
      <c r="M24" s="51"/>
      <c r="N24" s="51"/>
      <c r="O24" s="51"/>
      <c r="P24" s="57"/>
      <c r="Q24" s="495"/>
      <c r="R24" s="49">
        <v>11</v>
      </c>
      <c r="S24" s="49">
        <v>11</v>
      </c>
      <c r="T24" s="51"/>
      <c r="U24" s="51"/>
      <c r="V24" s="51"/>
      <c r="W24" s="51"/>
      <c r="X24" s="29"/>
      <c r="Y24" s="29"/>
    </row>
    <row r="25" spans="1:25" x14ac:dyDescent="0.25">
      <c r="A25" s="48" t="s">
        <v>190</v>
      </c>
      <c r="B25" s="48" t="s">
        <v>191</v>
      </c>
      <c r="C25" s="55">
        <f>15-15</f>
        <v>0</v>
      </c>
      <c r="D25" s="50">
        <f t="shared" si="0"/>
        <v>0</v>
      </c>
      <c r="E25" s="49"/>
      <c r="F25" s="49">
        <f t="shared" si="1"/>
        <v>0</v>
      </c>
      <c r="G25" s="51"/>
      <c r="H25" s="51"/>
      <c r="I25" s="51"/>
      <c r="J25" s="51"/>
      <c r="K25" s="56"/>
      <c r="L25" s="51">
        <f t="shared" si="2"/>
        <v>0</v>
      </c>
      <c r="M25" s="51"/>
      <c r="N25" s="51"/>
      <c r="O25" s="51"/>
      <c r="P25" s="57"/>
      <c r="Q25" s="495"/>
      <c r="R25" s="49">
        <v>0</v>
      </c>
      <c r="S25" s="49">
        <v>0</v>
      </c>
      <c r="T25" s="51"/>
      <c r="U25" s="51"/>
      <c r="V25" s="51"/>
      <c r="W25" s="51"/>
      <c r="X25" s="29"/>
      <c r="Y25" s="29"/>
    </row>
    <row r="26" spans="1:25" x14ac:dyDescent="0.25">
      <c r="A26" s="48" t="s">
        <v>192</v>
      </c>
      <c r="B26" s="48" t="s">
        <v>193</v>
      </c>
      <c r="C26" s="49">
        <v>350</v>
      </c>
      <c r="D26" s="50">
        <f t="shared" si="0"/>
        <v>-90</v>
      </c>
      <c r="E26" s="49">
        <v>260</v>
      </c>
      <c r="F26" s="49">
        <f t="shared" si="1"/>
        <v>260</v>
      </c>
      <c r="G26" s="51"/>
      <c r="H26" s="51"/>
      <c r="I26" s="51"/>
      <c r="J26" s="51"/>
      <c r="K26" s="56">
        <v>260</v>
      </c>
      <c r="L26" s="51">
        <f t="shared" si="2"/>
        <v>260</v>
      </c>
      <c r="M26" s="51"/>
      <c r="N26" s="51"/>
      <c r="O26" s="51"/>
      <c r="P26" s="57"/>
      <c r="Q26" s="495"/>
      <c r="R26" s="49">
        <f>260-10</f>
        <v>250</v>
      </c>
      <c r="S26" s="49">
        <f>260-10</f>
        <v>250</v>
      </c>
      <c r="T26" s="51"/>
      <c r="U26" s="51"/>
      <c r="V26" s="51"/>
      <c r="W26" s="51"/>
      <c r="X26" s="29"/>
      <c r="Y26" s="29"/>
    </row>
    <row r="27" spans="1:25" x14ac:dyDescent="0.25">
      <c r="A27" s="48" t="s">
        <v>194</v>
      </c>
      <c r="B27" s="48" t="s">
        <v>195</v>
      </c>
      <c r="C27" s="49">
        <v>100</v>
      </c>
      <c r="D27" s="50">
        <f t="shared" si="0"/>
        <v>0</v>
      </c>
      <c r="E27" s="49">
        <v>100</v>
      </c>
      <c r="F27" s="49">
        <f t="shared" si="1"/>
        <v>100</v>
      </c>
      <c r="G27" s="51"/>
      <c r="H27" s="51"/>
      <c r="I27" s="51"/>
      <c r="J27" s="51"/>
      <c r="K27" s="56">
        <v>100</v>
      </c>
      <c r="L27" s="51">
        <f t="shared" si="2"/>
        <v>100</v>
      </c>
      <c r="M27" s="51"/>
      <c r="N27" s="51"/>
      <c r="O27" s="51"/>
      <c r="P27" s="57"/>
      <c r="Q27" s="495"/>
      <c r="R27" s="49">
        <v>73</v>
      </c>
      <c r="S27" s="49">
        <v>73</v>
      </c>
      <c r="T27" s="51"/>
      <c r="U27" s="51"/>
      <c r="V27" s="51"/>
      <c r="W27" s="51"/>
      <c r="X27" s="29"/>
      <c r="Y27" s="29"/>
    </row>
    <row r="28" spans="1:25" x14ac:dyDescent="0.25">
      <c r="A28" s="63" t="s">
        <v>196</v>
      </c>
      <c r="B28" s="48" t="s">
        <v>197</v>
      </c>
      <c r="C28" s="49"/>
      <c r="D28" s="50"/>
      <c r="E28" s="49"/>
      <c r="F28" s="49"/>
      <c r="G28" s="51"/>
      <c r="H28" s="51"/>
      <c r="I28" s="51"/>
      <c r="J28" s="51"/>
      <c r="K28" s="56"/>
      <c r="L28" s="51"/>
      <c r="M28" s="51"/>
      <c r="N28" s="51"/>
      <c r="O28" s="51"/>
      <c r="P28" s="57"/>
      <c r="Q28" s="495"/>
      <c r="R28" s="49">
        <v>321</v>
      </c>
      <c r="S28" s="49">
        <v>321</v>
      </c>
      <c r="T28" s="51"/>
      <c r="U28" s="51"/>
      <c r="V28" s="51"/>
      <c r="W28" s="51"/>
      <c r="X28" s="29"/>
      <c r="Y28" s="29"/>
    </row>
    <row r="29" spans="1:25" x14ac:dyDescent="0.25">
      <c r="A29" s="48" t="s">
        <v>198</v>
      </c>
      <c r="B29" s="48" t="s">
        <v>199</v>
      </c>
      <c r="C29" s="49">
        <v>35</v>
      </c>
      <c r="D29" s="50">
        <f t="shared" si="0"/>
        <v>0</v>
      </c>
      <c r="E29" s="49">
        <v>35</v>
      </c>
      <c r="F29" s="49">
        <f t="shared" si="1"/>
        <v>35</v>
      </c>
      <c r="G29" s="51"/>
      <c r="H29" s="51"/>
      <c r="I29" s="51"/>
      <c r="J29" s="51"/>
      <c r="K29" s="56">
        <v>35</v>
      </c>
      <c r="L29" s="51">
        <f t="shared" si="2"/>
        <v>35</v>
      </c>
      <c r="M29" s="51"/>
      <c r="N29" s="51"/>
      <c r="O29" s="51"/>
      <c r="P29" s="57"/>
      <c r="Q29" s="495"/>
      <c r="R29" s="49">
        <v>10</v>
      </c>
      <c r="S29" s="49">
        <v>10</v>
      </c>
      <c r="T29" s="51"/>
      <c r="U29" s="51"/>
      <c r="V29" s="51"/>
      <c r="W29" s="51"/>
      <c r="X29" s="29"/>
      <c r="Y29" s="29"/>
    </row>
    <row r="30" spans="1:25" x14ac:dyDescent="0.25">
      <c r="A30" s="64" t="s">
        <v>200</v>
      </c>
      <c r="B30" s="64" t="s">
        <v>201</v>
      </c>
      <c r="C30" s="49">
        <v>540</v>
      </c>
      <c r="D30" s="50">
        <f t="shared" si="0"/>
        <v>0</v>
      </c>
      <c r="E30" s="49">
        <v>540</v>
      </c>
      <c r="F30" s="49">
        <f t="shared" si="1"/>
        <v>540</v>
      </c>
      <c r="G30" s="51"/>
      <c r="H30" s="51"/>
      <c r="I30" s="51"/>
      <c r="J30" s="51"/>
      <c r="K30" s="56">
        <v>540</v>
      </c>
      <c r="L30" s="51">
        <f t="shared" si="2"/>
        <v>540</v>
      </c>
      <c r="M30" s="51"/>
      <c r="N30" s="51"/>
      <c r="O30" s="51"/>
      <c r="P30" s="57"/>
      <c r="Q30" s="495"/>
      <c r="R30" s="65">
        <v>465</v>
      </c>
      <c r="S30" s="65">
        <v>465</v>
      </c>
      <c r="T30" s="66"/>
      <c r="U30" s="66"/>
      <c r="V30" s="66"/>
      <c r="W30" s="66"/>
      <c r="X30" s="29"/>
      <c r="Y30" s="29"/>
    </row>
    <row r="31" spans="1:25" x14ac:dyDescent="0.25">
      <c r="A31" s="64" t="s">
        <v>202</v>
      </c>
      <c r="B31" s="64" t="s">
        <v>203</v>
      </c>
      <c r="C31" s="49">
        <v>949</v>
      </c>
      <c r="D31" s="50">
        <f t="shared" si="0"/>
        <v>6</v>
      </c>
      <c r="E31" s="49">
        <v>955</v>
      </c>
      <c r="F31" s="49">
        <f t="shared" si="1"/>
        <v>955</v>
      </c>
      <c r="G31" s="51"/>
      <c r="H31" s="51"/>
      <c r="I31" s="51"/>
      <c r="J31" s="51"/>
      <c r="K31" s="56">
        <v>955</v>
      </c>
      <c r="L31" s="51">
        <f t="shared" si="2"/>
        <v>955</v>
      </c>
      <c r="M31" s="51"/>
      <c r="N31" s="51"/>
      <c r="O31" s="51"/>
      <c r="P31" s="57"/>
      <c r="Q31" s="495"/>
      <c r="R31" s="65">
        <v>268</v>
      </c>
      <c r="S31" s="65">
        <v>268</v>
      </c>
      <c r="T31" s="66"/>
      <c r="U31" s="66"/>
      <c r="V31" s="66"/>
      <c r="W31" s="66"/>
      <c r="X31" s="29"/>
      <c r="Y31" s="29"/>
    </row>
    <row r="32" spans="1:25" x14ac:dyDescent="0.25">
      <c r="A32" s="48" t="s">
        <v>204</v>
      </c>
      <c r="B32" s="48" t="s">
        <v>205</v>
      </c>
      <c r="C32" s="49">
        <v>0</v>
      </c>
      <c r="D32" s="50">
        <f t="shared" si="0"/>
        <v>0</v>
      </c>
      <c r="E32" s="49"/>
      <c r="F32" s="49">
        <f t="shared" si="1"/>
        <v>0</v>
      </c>
      <c r="G32" s="51"/>
      <c r="H32" s="51"/>
      <c r="I32" s="51"/>
      <c r="J32" s="51"/>
      <c r="K32" s="56"/>
      <c r="L32" s="51">
        <f t="shared" si="2"/>
        <v>0</v>
      </c>
      <c r="M32" s="51"/>
      <c r="N32" s="51"/>
      <c r="O32" s="51"/>
      <c r="P32" s="57"/>
      <c r="Q32" s="495"/>
      <c r="R32" s="49"/>
      <c r="S32" s="49">
        <v>0</v>
      </c>
      <c r="T32" s="51"/>
      <c r="U32" s="51"/>
      <c r="V32" s="51"/>
      <c r="W32" s="51"/>
      <c r="X32" s="29"/>
      <c r="Y32" s="29"/>
    </row>
    <row r="33" spans="1:25" x14ac:dyDescent="0.25">
      <c r="A33" s="48" t="s">
        <v>206</v>
      </c>
      <c r="B33" s="48" t="s">
        <v>207</v>
      </c>
      <c r="C33" s="49">
        <v>0</v>
      </c>
      <c r="D33" s="50">
        <f t="shared" si="0"/>
        <v>0</v>
      </c>
      <c r="E33" s="49"/>
      <c r="F33" s="49">
        <f t="shared" si="1"/>
        <v>0</v>
      </c>
      <c r="G33" s="51"/>
      <c r="H33" s="51"/>
      <c r="I33" s="51"/>
      <c r="J33" s="51"/>
      <c r="K33" s="56"/>
      <c r="L33" s="51">
        <f t="shared" si="2"/>
        <v>0</v>
      </c>
      <c r="M33" s="51"/>
      <c r="N33" s="51"/>
      <c r="O33" s="51"/>
      <c r="P33" s="57"/>
      <c r="Q33" s="495"/>
      <c r="R33" s="49"/>
      <c r="S33" s="49">
        <v>0</v>
      </c>
      <c r="T33" s="51"/>
      <c r="U33" s="51"/>
      <c r="V33" s="51"/>
      <c r="W33" s="51"/>
      <c r="X33" s="29"/>
      <c r="Y33" s="29"/>
    </row>
    <row r="34" spans="1:25" x14ac:dyDescent="0.25">
      <c r="A34" s="48" t="s">
        <v>208</v>
      </c>
      <c r="B34" s="48" t="s">
        <v>209</v>
      </c>
      <c r="C34" s="49">
        <v>1800</v>
      </c>
      <c r="D34" s="50">
        <f t="shared" si="0"/>
        <v>0</v>
      </c>
      <c r="E34" s="49">
        <v>1800</v>
      </c>
      <c r="F34" s="49">
        <f t="shared" si="1"/>
        <v>1800</v>
      </c>
      <c r="G34" s="51"/>
      <c r="H34" s="51"/>
      <c r="I34" s="51"/>
      <c r="J34" s="51"/>
      <c r="K34" s="56">
        <v>1800</v>
      </c>
      <c r="L34" s="51">
        <f t="shared" si="2"/>
        <v>1800</v>
      </c>
      <c r="M34" s="51"/>
      <c r="N34" s="51"/>
      <c r="O34" s="51"/>
      <c r="P34" s="57"/>
      <c r="Q34" s="495"/>
      <c r="R34" s="49">
        <f>2900-650</f>
        <v>2250</v>
      </c>
      <c r="S34" s="49">
        <f>2900-650</f>
        <v>2250</v>
      </c>
      <c r="T34" s="51"/>
      <c r="U34" s="51"/>
      <c r="V34" s="51"/>
      <c r="W34" s="51"/>
      <c r="X34" s="29"/>
      <c r="Y34" s="29"/>
    </row>
    <row r="35" spans="1:25" x14ac:dyDescent="0.25">
      <c r="A35" s="48" t="s">
        <v>210</v>
      </c>
      <c r="B35" s="48" t="s">
        <v>211</v>
      </c>
      <c r="C35" s="49">
        <v>800</v>
      </c>
      <c r="D35" s="50">
        <f t="shared" si="0"/>
        <v>0</v>
      </c>
      <c r="E35" s="49">
        <v>800</v>
      </c>
      <c r="F35" s="49">
        <f t="shared" si="1"/>
        <v>800</v>
      </c>
      <c r="G35" s="51"/>
      <c r="H35" s="51"/>
      <c r="I35" s="51"/>
      <c r="J35" s="51"/>
      <c r="K35" s="56">
        <v>800</v>
      </c>
      <c r="L35" s="51">
        <f t="shared" si="2"/>
        <v>800</v>
      </c>
      <c r="M35" s="51"/>
      <c r="N35" s="51"/>
      <c r="O35" s="51"/>
      <c r="P35" s="57"/>
      <c r="Q35" s="495"/>
      <c r="R35" s="49">
        <v>600</v>
      </c>
      <c r="S35" s="49">
        <f>50*12</f>
        <v>600</v>
      </c>
      <c r="T35" s="51"/>
      <c r="U35" s="51"/>
      <c r="V35" s="51"/>
      <c r="W35" s="51"/>
      <c r="X35" s="29"/>
      <c r="Y35" s="29"/>
    </row>
    <row r="36" spans="1:25" x14ac:dyDescent="0.25">
      <c r="A36" s="48" t="s">
        <v>212</v>
      </c>
      <c r="B36" s="48" t="s">
        <v>213</v>
      </c>
      <c r="C36" s="49">
        <v>1783</v>
      </c>
      <c r="D36" s="50">
        <f t="shared" si="0"/>
        <v>37</v>
      </c>
      <c r="E36" s="49">
        <v>1820</v>
      </c>
      <c r="F36" s="49">
        <f t="shared" si="1"/>
        <v>1820</v>
      </c>
      <c r="G36" s="51"/>
      <c r="H36" s="51"/>
      <c r="I36" s="51"/>
      <c r="J36" s="51"/>
      <c r="K36" s="56">
        <v>1820</v>
      </c>
      <c r="L36" s="51">
        <f t="shared" si="2"/>
        <v>1820</v>
      </c>
      <c r="M36" s="51"/>
      <c r="N36" s="51"/>
      <c r="O36" s="51"/>
      <c r="P36" s="57"/>
      <c r="Q36" s="495"/>
      <c r="R36" s="49">
        <v>1716</v>
      </c>
      <c r="S36" s="49">
        <v>1716</v>
      </c>
      <c r="T36" s="51"/>
      <c r="U36" s="51"/>
      <c r="V36" s="51"/>
      <c r="W36" s="51"/>
      <c r="X36" s="29"/>
      <c r="Y36" s="29"/>
    </row>
    <row r="37" spans="1:25" x14ac:dyDescent="0.25">
      <c r="A37" s="48" t="s">
        <v>214</v>
      </c>
      <c r="B37" s="48" t="s">
        <v>215</v>
      </c>
      <c r="C37" s="55">
        <f>580+150-150</f>
        <v>580</v>
      </c>
      <c r="D37" s="50">
        <f t="shared" si="0"/>
        <v>-580</v>
      </c>
      <c r="E37" s="49">
        <v>496.8</v>
      </c>
      <c r="F37" s="49">
        <f t="shared" si="1"/>
        <v>0</v>
      </c>
      <c r="G37" s="51"/>
      <c r="H37" s="51"/>
      <c r="I37" s="51"/>
      <c r="J37" s="51">
        <v>496.8</v>
      </c>
      <c r="K37" s="56">
        <v>496.8</v>
      </c>
      <c r="L37" s="51">
        <f t="shared" si="2"/>
        <v>0</v>
      </c>
      <c r="M37" s="51"/>
      <c r="N37" s="51"/>
      <c r="O37" s="51"/>
      <c r="P37" s="57">
        <v>496.8</v>
      </c>
      <c r="Q37" s="495"/>
      <c r="R37" s="49">
        <v>0</v>
      </c>
      <c r="S37" s="49">
        <v>0</v>
      </c>
      <c r="T37" s="51"/>
      <c r="U37" s="51"/>
      <c r="V37" s="51"/>
      <c r="W37" s="51">
        <v>0</v>
      </c>
      <c r="X37" s="29"/>
      <c r="Y37" s="29"/>
    </row>
    <row r="38" spans="1:25" x14ac:dyDescent="0.25">
      <c r="A38" s="48" t="s">
        <v>216</v>
      </c>
      <c r="B38" s="48" t="s">
        <v>217</v>
      </c>
      <c r="C38" s="49"/>
      <c r="D38" s="50">
        <f t="shared" si="0"/>
        <v>0</v>
      </c>
      <c r="E38" s="49">
        <v>0</v>
      </c>
      <c r="F38" s="49">
        <f t="shared" si="1"/>
        <v>0</v>
      </c>
      <c r="G38" s="51"/>
      <c r="H38" s="51"/>
      <c r="I38" s="51"/>
      <c r="J38" s="51"/>
      <c r="K38" s="56">
        <v>0</v>
      </c>
      <c r="L38" s="51">
        <f t="shared" si="2"/>
        <v>0</v>
      </c>
      <c r="M38" s="51"/>
      <c r="N38" s="51"/>
      <c r="O38" s="51"/>
      <c r="P38" s="57"/>
      <c r="Q38" s="495"/>
      <c r="R38" s="49">
        <v>0</v>
      </c>
      <c r="S38" s="49">
        <v>0</v>
      </c>
      <c r="T38" s="51"/>
      <c r="U38" s="51"/>
      <c r="V38" s="51"/>
      <c r="W38" s="51"/>
      <c r="X38" s="29"/>
      <c r="Y38" s="29"/>
    </row>
    <row r="39" spans="1:25" x14ac:dyDescent="0.25">
      <c r="A39" s="48" t="s">
        <v>218</v>
      </c>
      <c r="B39" s="48" t="s">
        <v>219</v>
      </c>
      <c r="C39" s="49">
        <v>6</v>
      </c>
      <c r="D39" s="50">
        <f t="shared" si="0"/>
        <v>0</v>
      </c>
      <c r="E39" s="49">
        <v>6</v>
      </c>
      <c r="F39" s="49">
        <f t="shared" si="1"/>
        <v>6</v>
      </c>
      <c r="G39" s="51"/>
      <c r="H39" s="51"/>
      <c r="I39" s="51"/>
      <c r="J39" s="51"/>
      <c r="K39" s="56">
        <v>6</v>
      </c>
      <c r="L39" s="51">
        <f t="shared" si="2"/>
        <v>6</v>
      </c>
      <c r="M39" s="51"/>
      <c r="N39" s="51"/>
      <c r="O39" s="51"/>
      <c r="P39" s="57"/>
      <c r="Q39" s="495"/>
      <c r="R39" s="49">
        <v>6</v>
      </c>
      <c r="S39" s="49">
        <v>6</v>
      </c>
      <c r="T39" s="51"/>
      <c r="U39" s="51"/>
      <c r="V39" s="51"/>
      <c r="W39" s="51"/>
      <c r="X39" s="29"/>
      <c r="Y39" s="29"/>
    </row>
    <row r="40" spans="1:25" x14ac:dyDescent="0.25">
      <c r="A40" s="48" t="s">
        <v>220</v>
      </c>
      <c r="B40" s="48" t="s">
        <v>221</v>
      </c>
      <c r="C40" s="49">
        <v>75</v>
      </c>
      <c r="D40" s="50">
        <f t="shared" si="0"/>
        <v>6.5</v>
      </c>
      <c r="E40" s="49">
        <v>231.5</v>
      </c>
      <c r="F40" s="49">
        <f t="shared" si="1"/>
        <v>81.5</v>
      </c>
      <c r="G40" s="51"/>
      <c r="H40" s="51"/>
      <c r="I40" s="51">
        <v>150</v>
      </c>
      <c r="J40" s="51"/>
      <c r="K40" s="56">
        <v>231.5</v>
      </c>
      <c r="L40" s="51">
        <f t="shared" si="2"/>
        <v>81.5</v>
      </c>
      <c r="M40" s="51"/>
      <c r="N40" s="51"/>
      <c r="O40" s="51">
        <v>150</v>
      </c>
      <c r="P40" s="57"/>
      <c r="Q40" s="495"/>
      <c r="R40" s="49">
        <v>210</v>
      </c>
      <c r="S40" s="49">
        <v>169</v>
      </c>
      <c r="T40" s="51"/>
      <c r="U40" s="51"/>
      <c r="V40" s="51">
        <v>41</v>
      </c>
      <c r="W40" s="51"/>
      <c r="X40" s="29"/>
      <c r="Y40" s="29"/>
    </row>
    <row r="41" spans="1:25" x14ac:dyDescent="0.25">
      <c r="A41" s="48" t="s">
        <v>222</v>
      </c>
      <c r="B41" s="48" t="s">
        <v>223</v>
      </c>
      <c r="C41" s="49">
        <f>150+500</f>
        <v>650</v>
      </c>
      <c r="D41" s="50">
        <f t="shared" si="0"/>
        <v>-290</v>
      </c>
      <c r="E41" s="49">
        <v>360</v>
      </c>
      <c r="F41" s="49">
        <f t="shared" si="1"/>
        <v>360</v>
      </c>
      <c r="G41" s="51"/>
      <c r="H41" s="51"/>
      <c r="I41" s="51"/>
      <c r="J41" s="51"/>
      <c r="K41" s="56">
        <v>360</v>
      </c>
      <c r="L41" s="51">
        <f t="shared" si="2"/>
        <v>360</v>
      </c>
      <c r="M41" s="51"/>
      <c r="N41" s="51"/>
      <c r="O41" s="51"/>
      <c r="P41" s="57"/>
      <c r="Q41" s="495"/>
      <c r="R41" s="49">
        <v>357</v>
      </c>
      <c r="S41" s="49">
        <v>357</v>
      </c>
      <c r="T41" s="51"/>
      <c r="U41" s="51"/>
      <c r="V41" s="51"/>
      <c r="W41" s="51"/>
      <c r="X41" s="29"/>
      <c r="Y41" s="29"/>
    </row>
    <row r="42" spans="1:25" x14ac:dyDescent="0.25">
      <c r="A42" s="60" t="s">
        <v>224</v>
      </c>
      <c r="B42" s="60" t="s">
        <v>225</v>
      </c>
      <c r="C42" s="49">
        <v>0</v>
      </c>
      <c r="D42" s="50">
        <f t="shared" si="0"/>
        <v>0</v>
      </c>
      <c r="E42" s="67">
        <v>150</v>
      </c>
      <c r="F42" s="67">
        <f t="shared" si="1"/>
        <v>0</v>
      </c>
      <c r="G42" s="51"/>
      <c r="H42" s="51"/>
      <c r="I42" s="51"/>
      <c r="J42" s="51">
        <v>150</v>
      </c>
      <c r="K42" s="56">
        <v>150</v>
      </c>
      <c r="L42" s="51">
        <f t="shared" si="2"/>
        <v>0</v>
      </c>
      <c r="M42" s="51"/>
      <c r="N42" s="51"/>
      <c r="O42" s="51"/>
      <c r="P42" s="57">
        <v>150</v>
      </c>
      <c r="Q42" s="495"/>
      <c r="R42" s="61">
        <v>0</v>
      </c>
      <c r="S42" s="61">
        <v>0</v>
      </c>
      <c r="T42" s="62"/>
      <c r="U42" s="62"/>
      <c r="V42" s="62"/>
      <c r="W42" s="62">
        <v>0</v>
      </c>
      <c r="X42" s="29"/>
      <c r="Y42" s="29"/>
    </row>
    <row r="43" spans="1:25" x14ac:dyDescent="0.25">
      <c r="A43" s="48" t="s">
        <v>226</v>
      </c>
      <c r="B43" s="48" t="s">
        <v>227</v>
      </c>
      <c r="C43" s="49">
        <v>0</v>
      </c>
      <c r="D43" s="50">
        <f t="shared" si="0"/>
        <v>0</v>
      </c>
      <c r="E43" s="49">
        <v>27</v>
      </c>
      <c r="F43" s="49">
        <f t="shared" si="1"/>
        <v>0</v>
      </c>
      <c r="G43" s="51"/>
      <c r="H43" s="51"/>
      <c r="I43" s="51">
        <v>27</v>
      </c>
      <c r="J43" s="51"/>
      <c r="K43" s="56">
        <v>27</v>
      </c>
      <c r="L43" s="51">
        <f t="shared" si="2"/>
        <v>0</v>
      </c>
      <c r="M43" s="51"/>
      <c r="N43" s="51"/>
      <c r="O43" s="51">
        <v>27</v>
      </c>
      <c r="P43" s="57"/>
      <c r="Q43" s="495"/>
      <c r="R43" s="49">
        <v>27</v>
      </c>
      <c r="S43" s="49">
        <v>0</v>
      </c>
      <c r="T43" s="51"/>
      <c r="U43" s="51"/>
      <c r="V43" s="51">
        <v>27</v>
      </c>
      <c r="W43" s="51"/>
      <c r="X43" s="29"/>
      <c r="Y43" s="29"/>
    </row>
    <row r="44" spans="1:25" x14ac:dyDescent="0.25">
      <c r="A44" s="60" t="s">
        <v>228</v>
      </c>
      <c r="B44" s="60" t="s">
        <v>229</v>
      </c>
      <c r="C44" s="49"/>
      <c r="D44" s="50">
        <f t="shared" si="0"/>
        <v>0</v>
      </c>
      <c r="E44" s="49">
        <v>0</v>
      </c>
      <c r="F44" s="49">
        <f t="shared" si="1"/>
        <v>0</v>
      </c>
      <c r="G44" s="51"/>
      <c r="H44" s="51"/>
      <c r="I44" s="51"/>
      <c r="J44" s="51"/>
      <c r="K44" s="56">
        <v>0</v>
      </c>
      <c r="L44" s="51">
        <f t="shared" si="2"/>
        <v>0</v>
      </c>
      <c r="M44" s="51"/>
      <c r="N44" s="51"/>
      <c r="O44" s="51"/>
      <c r="P44" s="57"/>
      <c r="Q44" s="495"/>
      <c r="R44" s="61">
        <v>350</v>
      </c>
      <c r="S44" s="61">
        <v>350</v>
      </c>
      <c r="T44" s="62"/>
      <c r="U44" s="62"/>
      <c r="V44" s="62"/>
      <c r="W44" s="62"/>
      <c r="X44" s="29"/>
      <c r="Y44" s="29"/>
    </row>
    <row r="45" spans="1:25" x14ac:dyDescent="0.25">
      <c r="A45" s="60" t="s">
        <v>230</v>
      </c>
      <c r="B45" s="60" t="s">
        <v>231</v>
      </c>
      <c r="C45" s="49">
        <v>0</v>
      </c>
      <c r="D45" s="50">
        <f t="shared" si="0"/>
        <v>0</v>
      </c>
      <c r="E45" s="49">
        <f>850-260</f>
        <v>590</v>
      </c>
      <c r="F45" s="49">
        <f t="shared" si="1"/>
        <v>0</v>
      </c>
      <c r="G45" s="51"/>
      <c r="H45" s="51"/>
      <c r="I45" s="51">
        <v>590</v>
      </c>
      <c r="J45" s="51"/>
      <c r="K45" s="56">
        <f>850-260</f>
        <v>590</v>
      </c>
      <c r="L45" s="51">
        <f t="shared" si="2"/>
        <v>0</v>
      </c>
      <c r="M45" s="51"/>
      <c r="N45" s="51"/>
      <c r="O45" s="51">
        <v>590</v>
      </c>
      <c r="P45" s="57"/>
      <c r="Q45" s="495"/>
      <c r="R45" s="61">
        <v>610</v>
      </c>
      <c r="S45" s="61">
        <v>270</v>
      </c>
      <c r="T45" s="62"/>
      <c r="U45" s="62"/>
      <c r="V45" s="62">
        <v>340</v>
      </c>
      <c r="W45" s="62"/>
      <c r="X45" s="29"/>
      <c r="Y45" s="29"/>
    </row>
    <row r="46" spans="1:25" x14ac:dyDescent="0.25">
      <c r="A46" s="60" t="s">
        <v>232</v>
      </c>
      <c r="B46" s="60" t="s">
        <v>233</v>
      </c>
      <c r="C46" s="49">
        <v>0</v>
      </c>
      <c r="D46" s="50">
        <f t="shared" si="0"/>
        <v>0</v>
      </c>
      <c r="E46" s="49">
        <v>260</v>
      </c>
      <c r="F46" s="49">
        <f t="shared" si="1"/>
        <v>0</v>
      </c>
      <c r="G46" s="51"/>
      <c r="H46" s="51"/>
      <c r="I46" s="51">
        <v>260</v>
      </c>
      <c r="J46" s="51"/>
      <c r="K46" s="56">
        <v>260</v>
      </c>
      <c r="L46" s="51">
        <f t="shared" si="2"/>
        <v>0</v>
      </c>
      <c r="M46" s="51"/>
      <c r="N46" s="51"/>
      <c r="O46" s="51">
        <v>260</v>
      </c>
      <c r="P46" s="57"/>
      <c r="Q46" s="495"/>
      <c r="R46" s="61">
        <v>315</v>
      </c>
      <c r="S46" s="61">
        <v>0</v>
      </c>
      <c r="T46" s="62"/>
      <c r="U46" s="62"/>
      <c r="V46" s="62">
        <v>315</v>
      </c>
      <c r="W46" s="62"/>
      <c r="X46" s="29"/>
      <c r="Y46" s="29"/>
    </row>
    <row r="47" spans="1:25" x14ac:dyDescent="0.25">
      <c r="A47" s="60" t="s">
        <v>234</v>
      </c>
      <c r="B47" s="60" t="s">
        <v>235</v>
      </c>
      <c r="C47" s="49">
        <v>0</v>
      </c>
      <c r="D47" s="50">
        <f t="shared" si="0"/>
        <v>0</v>
      </c>
      <c r="E47" s="67">
        <v>200</v>
      </c>
      <c r="F47" s="67">
        <f t="shared" si="1"/>
        <v>0</v>
      </c>
      <c r="G47" s="51"/>
      <c r="H47" s="51"/>
      <c r="I47" s="51"/>
      <c r="J47" s="51">
        <v>200</v>
      </c>
      <c r="K47" s="56">
        <v>200</v>
      </c>
      <c r="L47" s="51">
        <f t="shared" si="2"/>
        <v>0</v>
      </c>
      <c r="M47" s="51"/>
      <c r="N47" s="51"/>
      <c r="O47" s="51"/>
      <c r="P47" s="57">
        <v>200</v>
      </c>
      <c r="Q47" s="495"/>
      <c r="R47" s="61">
        <v>250</v>
      </c>
      <c r="S47" s="61">
        <v>250</v>
      </c>
      <c r="T47" s="62"/>
      <c r="U47" s="62"/>
      <c r="V47" s="62"/>
      <c r="W47" s="62"/>
      <c r="X47" s="29"/>
      <c r="Y47" s="29"/>
    </row>
    <row r="48" spans="1:25" x14ac:dyDescent="0.25">
      <c r="A48" s="64" t="s">
        <v>236</v>
      </c>
      <c r="B48" s="64" t="s">
        <v>237</v>
      </c>
      <c r="C48" s="55">
        <f>280-60</f>
        <v>220</v>
      </c>
      <c r="D48" s="50">
        <f t="shared" si="0"/>
        <v>60</v>
      </c>
      <c r="E48" s="49">
        <v>280</v>
      </c>
      <c r="F48" s="49">
        <f t="shared" si="1"/>
        <v>280</v>
      </c>
      <c r="G48" s="51"/>
      <c r="H48" s="51"/>
      <c r="I48" s="51"/>
      <c r="J48" s="51"/>
      <c r="K48" s="56">
        <v>280</v>
      </c>
      <c r="L48" s="51">
        <f t="shared" si="2"/>
        <v>280</v>
      </c>
      <c r="M48" s="51"/>
      <c r="N48" s="51"/>
      <c r="O48" s="51"/>
      <c r="P48" s="57"/>
      <c r="Q48" s="495"/>
      <c r="R48" s="65">
        <v>280</v>
      </c>
      <c r="S48" s="65">
        <v>280</v>
      </c>
      <c r="T48" s="66"/>
      <c r="U48" s="66"/>
      <c r="V48" s="66"/>
      <c r="W48" s="66"/>
      <c r="X48" s="29"/>
      <c r="Y48" s="29"/>
    </row>
    <row r="49" spans="1:25" x14ac:dyDescent="0.25">
      <c r="A49" s="48" t="s">
        <v>238</v>
      </c>
      <c r="B49" s="48" t="s">
        <v>239</v>
      </c>
      <c r="C49" s="49">
        <v>0</v>
      </c>
      <c r="D49" s="50">
        <f t="shared" si="0"/>
        <v>1000</v>
      </c>
      <c r="E49" s="49">
        <v>1000</v>
      </c>
      <c r="F49" s="49">
        <f t="shared" si="1"/>
        <v>1000</v>
      </c>
      <c r="G49" s="51"/>
      <c r="H49" s="51"/>
      <c r="I49" s="51"/>
      <c r="J49" s="51"/>
      <c r="K49" s="68">
        <f>1000-500</f>
        <v>500</v>
      </c>
      <c r="L49" s="67">
        <f t="shared" si="2"/>
        <v>500</v>
      </c>
      <c r="M49" s="67"/>
      <c r="N49" s="67"/>
      <c r="O49" s="67"/>
      <c r="P49" s="69"/>
      <c r="Q49" s="495"/>
      <c r="R49" s="59">
        <v>500</v>
      </c>
      <c r="S49" s="59">
        <v>500</v>
      </c>
      <c r="T49" s="70"/>
      <c r="U49" s="70"/>
      <c r="V49" s="70"/>
      <c r="W49" s="70"/>
      <c r="X49" s="29"/>
      <c r="Y49" s="29"/>
    </row>
    <row r="50" spans="1:25" x14ac:dyDescent="0.25">
      <c r="A50" s="48" t="s">
        <v>240</v>
      </c>
      <c r="B50" s="48" t="s">
        <v>241</v>
      </c>
      <c r="C50" s="49">
        <v>2200</v>
      </c>
      <c r="D50" s="50">
        <f t="shared" si="0"/>
        <v>0</v>
      </c>
      <c r="E50" s="49">
        <v>2200</v>
      </c>
      <c r="F50" s="49">
        <f t="shared" si="1"/>
        <v>2200</v>
      </c>
      <c r="G50" s="51"/>
      <c r="H50" s="51"/>
      <c r="I50" s="51"/>
      <c r="J50" s="51"/>
      <c r="K50" s="56">
        <v>2200</v>
      </c>
      <c r="L50" s="51">
        <f t="shared" si="2"/>
        <v>2200</v>
      </c>
      <c r="M50" s="51"/>
      <c r="N50" s="51"/>
      <c r="O50" s="51"/>
      <c r="P50" s="57"/>
      <c r="Q50" s="495"/>
      <c r="R50" s="49">
        <v>2950</v>
      </c>
      <c r="S50" s="49">
        <f>2450+500</f>
        <v>2950</v>
      </c>
      <c r="T50" s="51"/>
      <c r="U50" s="51"/>
      <c r="V50" s="51"/>
      <c r="W50" s="51"/>
      <c r="X50" s="29"/>
      <c r="Y50" s="29"/>
    </row>
    <row r="51" spans="1:25" x14ac:dyDescent="0.25">
      <c r="A51" s="60" t="s">
        <v>242</v>
      </c>
      <c r="B51" s="60" t="s">
        <v>243</v>
      </c>
      <c r="C51" s="49">
        <v>390</v>
      </c>
      <c r="D51" s="50">
        <f t="shared" si="0"/>
        <v>320</v>
      </c>
      <c r="E51" s="67">
        <v>765</v>
      </c>
      <c r="F51" s="67">
        <f t="shared" si="1"/>
        <v>710</v>
      </c>
      <c r="G51" s="51"/>
      <c r="H51" s="51"/>
      <c r="I51" s="51"/>
      <c r="J51" s="51">
        <v>55</v>
      </c>
      <c r="K51" s="56">
        <v>765</v>
      </c>
      <c r="L51" s="51">
        <f t="shared" si="2"/>
        <v>710</v>
      </c>
      <c r="M51" s="51"/>
      <c r="N51" s="51"/>
      <c r="O51" s="51"/>
      <c r="P51" s="57">
        <v>55</v>
      </c>
      <c r="Q51" s="495"/>
      <c r="R51" s="61">
        <f>120+100</f>
        <v>220</v>
      </c>
      <c r="S51" s="61">
        <f>120+100</f>
        <v>220</v>
      </c>
      <c r="T51" s="62"/>
      <c r="U51" s="62"/>
      <c r="V51" s="62"/>
      <c r="W51" s="62"/>
      <c r="X51" s="29"/>
      <c r="Y51" s="29"/>
    </row>
    <row r="52" spans="1:25" x14ac:dyDescent="0.25">
      <c r="A52" s="60" t="s">
        <v>244</v>
      </c>
      <c r="B52" s="60" t="s">
        <v>245</v>
      </c>
      <c r="C52" s="49">
        <v>100</v>
      </c>
      <c r="D52" s="50">
        <f t="shared" si="0"/>
        <v>0</v>
      </c>
      <c r="E52" s="49">
        <v>100</v>
      </c>
      <c r="F52" s="49">
        <f t="shared" si="1"/>
        <v>100</v>
      </c>
      <c r="G52" s="51"/>
      <c r="H52" s="51"/>
      <c r="I52" s="51"/>
      <c r="J52" s="51"/>
      <c r="K52" s="56">
        <v>100</v>
      </c>
      <c r="L52" s="51">
        <f t="shared" si="2"/>
        <v>100</v>
      </c>
      <c r="M52" s="51"/>
      <c r="N52" s="51"/>
      <c r="O52" s="51"/>
      <c r="P52" s="57"/>
      <c r="Q52" s="495"/>
      <c r="R52" s="61">
        <v>100</v>
      </c>
      <c r="S52" s="61">
        <v>100</v>
      </c>
      <c r="T52" s="62"/>
      <c r="U52" s="62"/>
      <c r="V52" s="62"/>
      <c r="W52" s="62"/>
      <c r="X52" s="29"/>
      <c r="Y52" s="29"/>
    </row>
    <row r="53" spans="1:25" x14ac:dyDescent="0.25">
      <c r="A53" s="60" t="s">
        <v>246</v>
      </c>
      <c r="B53" s="60" t="s">
        <v>247</v>
      </c>
      <c r="C53" s="49">
        <v>120</v>
      </c>
      <c r="D53" s="50">
        <f t="shared" si="0"/>
        <v>8</v>
      </c>
      <c r="E53" s="49">
        <v>128</v>
      </c>
      <c r="F53" s="49">
        <f t="shared" si="1"/>
        <v>128</v>
      </c>
      <c r="G53" s="51"/>
      <c r="H53" s="51"/>
      <c r="I53" s="51"/>
      <c r="J53" s="51"/>
      <c r="K53" s="56">
        <v>128</v>
      </c>
      <c r="L53" s="51">
        <f t="shared" si="2"/>
        <v>128</v>
      </c>
      <c r="M53" s="51"/>
      <c r="N53" s="51"/>
      <c r="O53" s="51"/>
      <c r="P53" s="57"/>
      <c r="Q53" s="495"/>
      <c r="R53" s="61">
        <v>150</v>
      </c>
      <c r="S53" s="61">
        <v>150</v>
      </c>
      <c r="T53" s="62"/>
      <c r="U53" s="62"/>
      <c r="V53" s="62"/>
      <c r="W53" s="62"/>
      <c r="X53" s="29"/>
      <c r="Y53" s="29"/>
    </row>
    <row r="54" spans="1:25" x14ac:dyDescent="0.25">
      <c r="A54" s="60" t="s">
        <v>248</v>
      </c>
      <c r="B54" s="60" t="s">
        <v>249</v>
      </c>
      <c r="C54" s="49">
        <v>150</v>
      </c>
      <c r="D54" s="50">
        <f t="shared" si="0"/>
        <v>-30</v>
      </c>
      <c r="E54" s="49">
        <v>120</v>
      </c>
      <c r="F54" s="49">
        <f t="shared" si="1"/>
        <v>120</v>
      </c>
      <c r="G54" s="51"/>
      <c r="H54" s="51"/>
      <c r="I54" s="51"/>
      <c r="J54" s="51"/>
      <c r="K54" s="56">
        <v>120</v>
      </c>
      <c r="L54" s="51">
        <f t="shared" si="2"/>
        <v>120</v>
      </c>
      <c r="M54" s="51"/>
      <c r="N54" s="51"/>
      <c r="O54" s="51"/>
      <c r="P54" s="57"/>
      <c r="Q54" s="495"/>
      <c r="R54" s="61"/>
      <c r="S54" s="61"/>
      <c r="T54" s="62"/>
      <c r="U54" s="62"/>
      <c r="V54" s="62"/>
      <c r="W54" s="62"/>
      <c r="X54" s="29"/>
      <c r="Y54" s="29"/>
    </row>
    <row r="55" spans="1:25" x14ac:dyDescent="0.25">
      <c r="A55" s="60" t="s">
        <v>250</v>
      </c>
      <c r="B55" s="60" t="s">
        <v>251</v>
      </c>
      <c r="C55" s="49"/>
      <c r="D55" s="50">
        <f t="shared" si="0"/>
        <v>0</v>
      </c>
      <c r="E55" s="49">
        <v>250</v>
      </c>
      <c r="F55" s="49">
        <f t="shared" si="1"/>
        <v>0</v>
      </c>
      <c r="G55" s="51">
        <v>250</v>
      </c>
      <c r="H55" s="51"/>
      <c r="I55" s="51"/>
      <c r="J55" s="51"/>
      <c r="K55" s="56">
        <v>250</v>
      </c>
      <c r="L55" s="51">
        <f t="shared" si="2"/>
        <v>0</v>
      </c>
      <c r="M55" s="51">
        <v>250</v>
      </c>
      <c r="N55" s="51"/>
      <c r="O55" s="51"/>
      <c r="P55" s="57"/>
      <c r="Q55" s="495"/>
      <c r="R55" s="61"/>
      <c r="S55" s="61"/>
      <c r="T55" s="62"/>
      <c r="U55" s="62"/>
      <c r="V55" s="62"/>
      <c r="W55" s="62"/>
      <c r="X55" s="29"/>
      <c r="Y55" s="29"/>
    </row>
    <row r="56" spans="1:25" x14ac:dyDescent="0.25">
      <c r="A56" s="60" t="s">
        <v>252</v>
      </c>
      <c r="B56" s="60" t="s">
        <v>253</v>
      </c>
      <c r="C56" s="49">
        <v>0</v>
      </c>
      <c r="D56" s="50">
        <f t="shared" si="0"/>
        <v>150</v>
      </c>
      <c r="E56" s="67">
        <v>252</v>
      </c>
      <c r="F56" s="67">
        <f t="shared" si="1"/>
        <v>150</v>
      </c>
      <c r="G56" s="51">
        <v>102</v>
      </c>
      <c r="H56" s="51"/>
      <c r="I56" s="51"/>
      <c r="J56" s="51"/>
      <c r="K56" s="56">
        <v>252</v>
      </c>
      <c r="L56" s="51">
        <f t="shared" si="2"/>
        <v>150</v>
      </c>
      <c r="M56" s="51">
        <v>102</v>
      </c>
      <c r="N56" s="51"/>
      <c r="O56" s="51"/>
      <c r="P56" s="57"/>
      <c r="Q56" s="495"/>
      <c r="R56" s="61">
        <v>140</v>
      </c>
      <c r="S56" s="61">
        <v>140</v>
      </c>
      <c r="T56" s="62"/>
      <c r="U56" s="62"/>
      <c r="V56" s="62"/>
      <c r="W56" s="62"/>
      <c r="X56" s="29"/>
      <c r="Y56" s="29"/>
    </row>
    <row r="57" spans="1:25" x14ac:dyDescent="0.25">
      <c r="A57" s="60" t="s">
        <v>254</v>
      </c>
      <c r="B57" s="60" t="s">
        <v>255</v>
      </c>
      <c r="C57" s="49"/>
      <c r="D57" s="50"/>
      <c r="E57" s="67"/>
      <c r="F57" s="67"/>
      <c r="G57" s="51"/>
      <c r="H57" s="51"/>
      <c r="I57" s="51"/>
      <c r="J57" s="51"/>
      <c r="K57" s="56"/>
      <c r="L57" s="51"/>
      <c r="M57" s="51"/>
      <c r="N57" s="51"/>
      <c r="O57" s="51"/>
      <c r="P57" s="57"/>
      <c r="Q57" s="495"/>
      <c r="R57" s="61">
        <v>270</v>
      </c>
      <c r="S57" s="61">
        <v>0</v>
      </c>
      <c r="T57" s="62"/>
      <c r="U57" s="62"/>
      <c r="V57" s="62"/>
      <c r="W57" s="62">
        <v>270</v>
      </c>
      <c r="X57" s="29"/>
      <c r="Y57" s="29"/>
    </row>
    <row r="58" spans="1:25" x14ac:dyDescent="0.25">
      <c r="A58" s="64" t="s">
        <v>256</v>
      </c>
      <c r="B58" s="64" t="s">
        <v>257</v>
      </c>
      <c r="C58" s="55">
        <f>884-80</f>
        <v>804</v>
      </c>
      <c r="D58" s="50">
        <f t="shared" si="0"/>
        <v>20</v>
      </c>
      <c r="E58" s="49">
        <v>824</v>
      </c>
      <c r="F58" s="49">
        <f t="shared" si="1"/>
        <v>824</v>
      </c>
      <c r="G58" s="51"/>
      <c r="H58" s="51"/>
      <c r="I58" s="51"/>
      <c r="J58" s="51"/>
      <c r="K58" s="56">
        <v>824</v>
      </c>
      <c r="L58" s="51">
        <f t="shared" si="2"/>
        <v>824</v>
      </c>
      <c r="M58" s="51"/>
      <c r="N58" s="51"/>
      <c r="O58" s="51"/>
      <c r="P58" s="57"/>
      <c r="Q58" s="495"/>
      <c r="R58" s="65">
        <v>982</v>
      </c>
      <c r="S58" s="65">
        <v>982</v>
      </c>
      <c r="T58" s="66"/>
      <c r="U58" s="66"/>
      <c r="V58" s="66"/>
      <c r="W58" s="66"/>
      <c r="X58" s="29"/>
      <c r="Y58" s="29"/>
    </row>
    <row r="59" spans="1:25" x14ac:dyDescent="0.25">
      <c r="A59" s="64" t="s">
        <v>258</v>
      </c>
      <c r="B59" s="64" t="s">
        <v>259</v>
      </c>
      <c r="C59" s="49">
        <v>1027</v>
      </c>
      <c r="D59" s="50">
        <f t="shared" si="0"/>
        <v>-21</v>
      </c>
      <c r="E59" s="49">
        <v>1006</v>
      </c>
      <c r="F59" s="49">
        <f t="shared" si="1"/>
        <v>1006</v>
      </c>
      <c r="G59" s="51"/>
      <c r="H59" s="51"/>
      <c r="I59" s="51"/>
      <c r="J59" s="51"/>
      <c r="K59" s="56">
        <v>1006</v>
      </c>
      <c r="L59" s="51">
        <f t="shared" si="2"/>
        <v>1006</v>
      </c>
      <c r="M59" s="51"/>
      <c r="N59" s="51"/>
      <c r="O59" s="51"/>
      <c r="P59" s="57"/>
      <c r="Q59" s="495"/>
      <c r="R59" s="65">
        <v>1006</v>
      </c>
      <c r="S59" s="65">
        <v>1006</v>
      </c>
      <c r="T59" s="66"/>
      <c r="U59" s="66"/>
      <c r="V59" s="66"/>
      <c r="W59" s="66"/>
      <c r="X59" s="29"/>
      <c r="Y59" s="29"/>
    </row>
    <row r="60" spans="1:25" x14ac:dyDescent="0.25">
      <c r="A60" s="64" t="s">
        <v>260</v>
      </c>
      <c r="B60" s="64" t="s">
        <v>261</v>
      </c>
      <c r="C60" s="55">
        <f>2691-120</f>
        <v>2571</v>
      </c>
      <c r="D60" s="50">
        <f t="shared" si="0"/>
        <v>145</v>
      </c>
      <c r="E60" s="49">
        <v>2716</v>
      </c>
      <c r="F60" s="49">
        <f t="shared" si="1"/>
        <v>2716</v>
      </c>
      <c r="G60" s="51"/>
      <c r="H60" s="51"/>
      <c r="I60" s="51"/>
      <c r="J60" s="51"/>
      <c r="K60" s="56">
        <v>2716</v>
      </c>
      <c r="L60" s="51">
        <f t="shared" si="2"/>
        <v>2716</v>
      </c>
      <c r="M60" s="51"/>
      <c r="N60" s="51"/>
      <c r="O60" s="51"/>
      <c r="P60" s="57"/>
      <c r="Q60" s="495"/>
      <c r="R60" s="65">
        <v>3294</v>
      </c>
      <c r="S60" s="65">
        <v>3294</v>
      </c>
      <c r="T60" s="66"/>
      <c r="U60" s="66"/>
      <c r="V60" s="66"/>
      <c r="W60" s="66"/>
      <c r="X60" s="29"/>
      <c r="Y60" s="29"/>
    </row>
    <row r="61" spans="1:25" x14ac:dyDescent="0.25">
      <c r="A61" s="64" t="s">
        <v>262</v>
      </c>
      <c r="B61" s="64" t="s">
        <v>263</v>
      </c>
      <c r="C61" s="49">
        <v>783</v>
      </c>
      <c r="D61" s="50">
        <f t="shared" si="0"/>
        <v>344</v>
      </c>
      <c r="E61" s="49">
        <v>1127</v>
      </c>
      <c r="F61" s="49">
        <f t="shared" si="1"/>
        <v>1127</v>
      </c>
      <c r="G61" s="51"/>
      <c r="H61" s="51"/>
      <c r="I61" s="51"/>
      <c r="J61" s="51"/>
      <c r="K61" s="56">
        <v>1127</v>
      </c>
      <c r="L61" s="51">
        <f t="shared" si="2"/>
        <v>1127</v>
      </c>
      <c r="M61" s="51"/>
      <c r="N61" s="51"/>
      <c r="O61" s="51"/>
      <c r="P61" s="57"/>
      <c r="Q61" s="495"/>
      <c r="R61" s="65">
        <v>928</v>
      </c>
      <c r="S61" s="65">
        <v>928</v>
      </c>
      <c r="T61" s="66"/>
      <c r="U61" s="66"/>
      <c r="V61" s="66"/>
      <c r="W61" s="66"/>
      <c r="X61" s="29"/>
      <c r="Y61" s="29"/>
    </row>
    <row r="62" spans="1:25" x14ac:dyDescent="0.25">
      <c r="A62" s="64" t="s">
        <v>264</v>
      </c>
      <c r="B62" s="64" t="s">
        <v>265</v>
      </c>
      <c r="C62" s="49">
        <v>280</v>
      </c>
      <c r="D62" s="50">
        <f t="shared" si="0"/>
        <v>-66</v>
      </c>
      <c r="E62" s="49">
        <v>214</v>
      </c>
      <c r="F62" s="49">
        <f t="shared" si="1"/>
        <v>214</v>
      </c>
      <c r="G62" s="51"/>
      <c r="H62" s="51"/>
      <c r="I62" s="51"/>
      <c r="J62" s="51"/>
      <c r="K62" s="56">
        <v>214</v>
      </c>
      <c r="L62" s="51">
        <f t="shared" si="2"/>
        <v>214</v>
      </c>
      <c r="M62" s="51"/>
      <c r="N62" s="51"/>
      <c r="O62" s="51"/>
      <c r="P62" s="57"/>
      <c r="Q62" s="495"/>
      <c r="R62" s="65">
        <v>164</v>
      </c>
      <c r="S62" s="65">
        <v>164</v>
      </c>
      <c r="T62" s="66"/>
      <c r="U62" s="66"/>
      <c r="V62" s="66"/>
      <c r="W62" s="66"/>
      <c r="X62" s="29"/>
      <c r="Y62" s="29"/>
    </row>
    <row r="63" spans="1:25" x14ac:dyDescent="0.25">
      <c r="A63" s="48" t="s">
        <v>266</v>
      </c>
      <c r="B63" s="48" t="s">
        <v>267</v>
      </c>
      <c r="C63" s="49">
        <v>250</v>
      </c>
      <c r="D63" s="50">
        <f t="shared" si="0"/>
        <v>-50</v>
      </c>
      <c r="E63" s="49">
        <v>200</v>
      </c>
      <c r="F63" s="49">
        <f t="shared" si="1"/>
        <v>200</v>
      </c>
      <c r="G63" s="51"/>
      <c r="H63" s="51"/>
      <c r="I63" s="51"/>
      <c r="J63" s="51"/>
      <c r="K63" s="56">
        <v>200</v>
      </c>
      <c r="L63" s="51">
        <f t="shared" si="2"/>
        <v>200</v>
      </c>
      <c r="M63" s="51"/>
      <c r="N63" s="51"/>
      <c r="O63" s="51"/>
      <c r="P63" s="57"/>
      <c r="Q63" s="495"/>
      <c r="R63" s="49">
        <v>330</v>
      </c>
      <c r="S63" s="49">
        <v>330</v>
      </c>
      <c r="T63" s="51"/>
      <c r="U63" s="51"/>
      <c r="V63" s="51"/>
      <c r="W63" s="51"/>
      <c r="X63" s="29"/>
      <c r="Y63" s="29"/>
    </row>
    <row r="64" spans="1:25" x14ac:dyDescent="0.25">
      <c r="A64" s="48" t="s">
        <v>268</v>
      </c>
      <c r="B64" s="48" t="s">
        <v>209</v>
      </c>
      <c r="C64" s="49">
        <v>300</v>
      </c>
      <c r="D64" s="50">
        <f t="shared" si="0"/>
        <v>0</v>
      </c>
      <c r="E64" s="49">
        <v>300</v>
      </c>
      <c r="F64" s="49">
        <f t="shared" si="1"/>
        <v>300</v>
      </c>
      <c r="G64" s="51"/>
      <c r="H64" s="51"/>
      <c r="I64" s="51"/>
      <c r="J64" s="51"/>
      <c r="K64" s="56">
        <v>300</v>
      </c>
      <c r="L64" s="51">
        <f t="shared" si="2"/>
        <v>300</v>
      </c>
      <c r="M64" s="51"/>
      <c r="N64" s="51"/>
      <c r="O64" s="51"/>
      <c r="P64" s="57"/>
      <c r="Q64" s="495"/>
      <c r="R64" s="49">
        <v>650</v>
      </c>
      <c r="S64" s="49">
        <v>650</v>
      </c>
      <c r="T64" s="51"/>
      <c r="U64" s="51"/>
      <c r="V64" s="51"/>
      <c r="W64" s="51"/>
      <c r="X64" s="29"/>
      <c r="Y64" s="29"/>
    </row>
    <row r="65" spans="1:25" x14ac:dyDescent="0.25">
      <c r="A65" s="48" t="s">
        <v>269</v>
      </c>
      <c r="B65" s="48" t="s">
        <v>270</v>
      </c>
      <c r="C65" s="49">
        <v>0</v>
      </c>
      <c r="D65" s="50">
        <f t="shared" si="0"/>
        <v>0</v>
      </c>
      <c r="E65" s="49">
        <v>5</v>
      </c>
      <c r="F65" s="49">
        <f t="shared" si="1"/>
        <v>0</v>
      </c>
      <c r="G65" s="51"/>
      <c r="H65" s="51"/>
      <c r="I65" s="51">
        <v>5</v>
      </c>
      <c r="J65" s="51"/>
      <c r="K65" s="56">
        <v>5</v>
      </c>
      <c r="L65" s="51">
        <f t="shared" si="2"/>
        <v>0</v>
      </c>
      <c r="M65" s="51"/>
      <c r="N65" s="51"/>
      <c r="O65" s="51">
        <v>5</v>
      </c>
      <c r="P65" s="57"/>
      <c r="Q65" s="495"/>
      <c r="R65" s="49">
        <v>57</v>
      </c>
      <c r="S65" s="49">
        <v>2</v>
      </c>
      <c r="T65" s="51"/>
      <c r="U65" s="51"/>
      <c r="V65" s="51">
        <f>3+1+51</f>
        <v>55</v>
      </c>
      <c r="W65" s="51"/>
      <c r="X65" s="29"/>
      <c r="Y65" s="29"/>
    </row>
    <row r="66" spans="1:25" x14ac:dyDescent="0.25">
      <c r="A66" s="48" t="s">
        <v>271</v>
      </c>
      <c r="B66" s="48" t="s">
        <v>272</v>
      </c>
      <c r="C66" s="49">
        <f>10183-300-3827</f>
        <v>6056</v>
      </c>
      <c r="D66" s="50">
        <f t="shared" si="0"/>
        <v>-496</v>
      </c>
      <c r="E66" s="49">
        <f>5860-300</f>
        <v>5560</v>
      </c>
      <c r="F66" s="49">
        <f t="shared" si="1"/>
        <v>5560</v>
      </c>
      <c r="G66" s="51"/>
      <c r="H66" s="51"/>
      <c r="I66" s="51"/>
      <c r="J66" s="51"/>
      <c r="K66" s="56">
        <f>5860-300</f>
        <v>5560</v>
      </c>
      <c r="L66" s="51">
        <f t="shared" si="2"/>
        <v>5560</v>
      </c>
      <c r="M66" s="51"/>
      <c r="N66" s="51"/>
      <c r="O66" s="51"/>
      <c r="P66" s="57"/>
      <c r="Q66" s="495"/>
      <c r="R66" s="49">
        <f>10099-4580</f>
        <v>5519</v>
      </c>
      <c r="S66" s="49">
        <f>9897-10-4580</f>
        <v>5307</v>
      </c>
      <c r="T66" s="51"/>
      <c r="U66" s="51"/>
      <c r="V66" s="51">
        <f>202+10</f>
        <v>212</v>
      </c>
      <c r="W66" s="51"/>
      <c r="X66" s="29"/>
      <c r="Y66" s="29"/>
    </row>
    <row r="67" spans="1:25" x14ac:dyDescent="0.25">
      <c r="A67" s="48" t="s">
        <v>273</v>
      </c>
      <c r="B67" s="48" t="s">
        <v>274</v>
      </c>
      <c r="C67" s="49">
        <v>13255</v>
      </c>
      <c r="D67" s="50">
        <f t="shared" si="0"/>
        <v>638</v>
      </c>
      <c r="E67" s="49">
        <v>13893</v>
      </c>
      <c r="F67" s="49">
        <f t="shared" si="1"/>
        <v>13893</v>
      </c>
      <c r="G67" s="51"/>
      <c r="H67" s="51"/>
      <c r="I67" s="51"/>
      <c r="J67" s="51"/>
      <c r="K67" s="56">
        <v>13893</v>
      </c>
      <c r="L67" s="51">
        <f t="shared" si="2"/>
        <v>13893</v>
      </c>
      <c r="M67" s="51"/>
      <c r="N67" s="51"/>
      <c r="O67" s="51"/>
      <c r="P67" s="57"/>
      <c r="Q67" s="495"/>
      <c r="R67" s="49">
        <v>13642</v>
      </c>
      <c r="S67" s="49">
        <v>13642</v>
      </c>
      <c r="T67" s="51"/>
      <c r="U67" s="51"/>
      <c r="V67" s="51"/>
      <c r="W67" s="51"/>
      <c r="X67" s="29"/>
      <c r="Y67" s="29"/>
    </row>
    <row r="68" spans="1:25" x14ac:dyDescent="0.25">
      <c r="A68" s="64" t="s">
        <v>275</v>
      </c>
      <c r="B68" s="64" t="s">
        <v>276</v>
      </c>
      <c r="C68" s="49">
        <v>160</v>
      </c>
      <c r="D68" s="50">
        <f t="shared" si="0"/>
        <v>25</v>
      </c>
      <c r="E68" s="49">
        <v>185</v>
      </c>
      <c r="F68" s="49">
        <f t="shared" si="1"/>
        <v>185</v>
      </c>
      <c r="G68" s="51"/>
      <c r="H68" s="51"/>
      <c r="I68" s="51"/>
      <c r="J68" s="51"/>
      <c r="K68" s="56">
        <v>185</v>
      </c>
      <c r="L68" s="51">
        <f t="shared" si="2"/>
        <v>185</v>
      </c>
      <c r="M68" s="51"/>
      <c r="N68" s="51"/>
      <c r="O68" s="51"/>
      <c r="P68" s="57"/>
      <c r="Q68" s="495"/>
      <c r="R68" s="65">
        <v>180</v>
      </c>
      <c r="S68" s="65">
        <v>180</v>
      </c>
      <c r="T68" s="66"/>
      <c r="U68" s="66"/>
      <c r="V68" s="66"/>
      <c r="W68" s="66"/>
      <c r="X68" s="29"/>
      <c r="Y68" s="29"/>
    </row>
    <row r="69" spans="1:25" x14ac:dyDescent="0.25">
      <c r="A69" s="48" t="s">
        <v>277</v>
      </c>
      <c r="B69" s="48" t="s">
        <v>278</v>
      </c>
      <c r="C69" s="49"/>
      <c r="D69" s="50">
        <f t="shared" si="0"/>
        <v>0</v>
      </c>
      <c r="E69" s="49">
        <v>0</v>
      </c>
      <c r="F69" s="49">
        <f t="shared" si="1"/>
        <v>0</v>
      </c>
      <c r="G69" s="51"/>
      <c r="H69" s="51"/>
      <c r="I69" s="51"/>
      <c r="J69" s="51"/>
      <c r="K69" s="71" t="s">
        <v>82</v>
      </c>
      <c r="L69" s="72" t="s">
        <v>82</v>
      </c>
      <c r="M69" s="51"/>
      <c r="N69" s="51"/>
      <c r="O69" s="51"/>
      <c r="P69" s="57"/>
      <c r="Q69" s="495"/>
      <c r="R69" s="49"/>
      <c r="S69" s="49"/>
      <c r="T69" s="51"/>
      <c r="U69" s="51"/>
      <c r="V69" s="51"/>
      <c r="W69" s="51"/>
      <c r="X69" s="29"/>
      <c r="Y69" s="29"/>
    </row>
    <row r="70" spans="1:25" x14ac:dyDescent="0.25">
      <c r="A70" s="48" t="s">
        <v>279</v>
      </c>
      <c r="B70" s="48" t="s">
        <v>272</v>
      </c>
      <c r="C70" s="49">
        <v>3827</v>
      </c>
      <c r="D70" s="50">
        <f t="shared" si="0"/>
        <v>1272</v>
      </c>
      <c r="E70" s="49">
        <v>5099</v>
      </c>
      <c r="F70" s="49">
        <f t="shared" si="1"/>
        <v>5099</v>
      </c>
      <c r="G70" s="51"/>
      <c r="H70" s="51"/>
      <c r="I70" s="51"/>
      <c r="J70" s="51"/>
      <c r="K70" s="56">
        <v>5099</v>
      </c>
      <c r="L70" s="51">
        <f t="shared" si="2"/>
        <v>5099</v>
      </c>
      <c r="M70" s="51"/>
      <c r="N70" s="51"/>
      <c r="O70" s="51"/>
      <c r="P70" s="57"/>
      <c r="Q70" s="495"/>
      <c r="R70" s="49">
        <v>4580</v>
      </c>
      <c r="S70" s="49">
        <v>4580</v>
      </c>
      <c r="T70" s="51"/>
      <c r="U70" s="51"/>
      <c r="V70" s="51"/>
      <c r="W70" s="51"/>
      <c r="X70" s="29"/>
      <c r="Y70" s="29"/>
    </row>
    <row r="71" spans="1:25" x14ac:dyDescent="0.25">
      <c r="A71" s="64" t="s">
        <v>280</v>
      </c>
      <c r="B71" s="64" t="s">
        <v>281</v>
      </c>
      <c r="C71" s="49">
        <v>685</v>
      </c>
      <c r="D71" s="50">
        <f t="shared" si="0"/>
        <v>-14</v>
      </c>
      <c r="E71" s="49">
        <v>671</v>
      </c>
      <c r="F71" s="49">
        <f t="shared" si="1"/>
        <v>671</v>
      </c>
      <c r="G71" s="51"/>
      <c r="H71" s="51"/>
      <c r="I71" s="51"/>
      <c r="J71" s="51"/>
      <c r="K71" s="56">
        <v>671</v>
      </c>
      <c r="L71" s="51">
        <f t="shared" si="2"/>
        <v>671</v>
      </c>
      <c r="M71" s="51"/>
      <c r="N71" s="51"/>
      <c r="O71" s="51"/>
      <c r="P71" s="57"/>
      <c r="Q71" s="495"/>
      <c r="R71" s="65">
        <v>671</v>
      </c>
      <c r="S71" s="65">
        <v>671</v>
      </c>
      <c r="T71" s="66"/>
      <c r="U71" s="66"/>
      <c r="V71" s="66"/>
      <c r="W71" s="66"/>
      <c r="X71" s="29"/>
      <c r="Y71" s="29"/>
    </row>
    <row r="72" spans="1:25" x14ac:dyDescent="0.25">
      <c r="A72" s="48" t="s">
        <v>190</v>
      </c>
      <c r="B72" s="48" t="s">
        <v>282</v>
      </c>
      <c r="C72" s="49"/>
      <c r="D72" s="50">
        <f t="shared" ref="D72:D75" si="3">F72-C72</f>
        <v>0</v>
      </c>
      <c r="E72" s="49">
        <v>0</v>
      </c>
      <c r="F72" s="49">
        <f t="shared" ref="F72:F75" si="4">E72-G72-I72-J72</f>
        <v>0</v>
      </c>
      <c r="G72" s="51"/>
      <c r="H72" s="51"/>
      <c r="I72" s="51"/>
      <c r="J72" s="51"/>
      <c r="K72" s="71" t="s">
        <v>82</v>
      </c>
      <c r="L72" s="72">
        <v>0</v>
      </c>
      <c r="M72" s="51"/>
      <c r="N72" s="51"/>
      <c r="O72" s="51"/>
      <c r="P72" s="57"/>
      <c r="Q72" s="495"/>
      <c r="R72" s="49"/>
      <c r="S72" s="49"/>
      <c r="T72" s="51"/>
      <c r="U72" s="51"/>
      <c r="V72" s="51"/>
      <c r="W72" s="51"/>
      <c r="X72" s="29"/>
      <c r="Y72" s="29"/>
    </row>
    <row r="73" spans="1:25" x14ac:dyDescent="0.25">
      <c r="A73" s="537" t="s">
        <v>283</v>
      </c>
      <c r="B73" s="48" t="s">
        <v>284</v>
      </c>
      <c r="C73" s="538"/>
      <c r="D73" s="540">
        <f t="shared" si="3"/>
        <v>0</v>
      </c>
      <c r="E73" s="73"/>
      <c r="F73" s="73">
        <f t="shared" si="4"/>
        <v>0</v>
      </c>
      <c r="G73" s="74"/>
      <c r="H73" s="74"/>
      <c r="I73" s="74"/>
      <c r="J73" s="74"/>
      <c r="K73" s="71" t="s">
        <v>82</v>
      </c>
      <c r="L73" s="72">
        <v>0</v>
      </c>
      <c r="M73" s="74"/>
      <c r="N73" s="74"/>
      <c r="O73" s="74"/>
      <c r="P73" s="75"/>
      <c r="Q73" s="495"/>
      <c r="R73" s="49"/>
      <c r="S73" s="49"/>
      <c r="T73" s="51"/>
      <c r="U73" s="51"/>
      <c r="V73" s="51"/>
      <c r="W73" s="51"/>
      <c r="X73" s="29"/>
      <c r="Y73" s="29"/>
    </row>
    <row r="74" spans="1:25" x14ac:dyDescent="0.25">
      <c r="A74" s="537"/>
      <c r="B74" s="48" t="s">
        <v>285</v>
      </c>
      <c r="C74" s="539"/>
      <c r="D74" s="539">
        <f t="shared" si="3"/>
        <v>0</v>
      </c>
      <c r="E74" s="76"/>
      <c r="F74" s="76">
        <f t="shared" si="4"/>
        <v>0</v>
      </c>
      <c r="G74" s="77"/>
      <c r="H74" s="77"/>
      <c r="I74" s="77"/>
      <c r="J74" s="77"/>
      <c r="K74" s="78" t="s">
        <v>82</v>
      </c>
      <c r="L74" s="79">
        <v>0</v>
      </c>
      <c r="M74" s="77"/>
      <c r="N74" s="77"/>
      <c r="O74" s="77"/>
      <c r="P74" s="80"/>
      <c r="Q74" s="495"/>
      <c r="R74" s="73"/>
      <c r="S74" s="73"/>
      <c r="T74" s="74"/>
      <c r="U74" s="74"/>
      <c r="V74" s="74"/>
      <c r="W74" s="74"/>
      <c r="X74" s="29"/>
      <c r="Y74" s="29"/>
    </row>
    <row r="75" spans="1:25" x14ac:dyDescent="0.25">
      <c r="A75" s="537"/>
      <c r="B75" s="48" t="s">
        <v>286</v>
      </c>
      <c r="C75" s="539"/>
      <c r="D75" s="539">
        <f t="shared" si="3"/>
        <v>0</v>
      </c>
      <c r="E75" s="76"/>
      <c r="F75" s="76">
        <f t="shared" si="4"/>
        <v>0</v>
      </c>
      <c r="G75" s="77"/>
      <c r="H75" s="77"/>
      <c r="I75" s="77"/>
      <c r="J75" s="77"/>
      <c r="K75" s="78" t="s">
        <v>82</v>
      </c>
      <c r="L75" s="79">
        <v>0</v>
      </c>
      <c r="M75" s="77"/>
      <c r="N75" s="77"/>
      <c r="O75" s="77"/>
      <c r="P75" s="80"/>
      <c r="Q75" s="495"/>
      <c r="R75" s="76"/>
      <c r="S75" s="76"/>
      <c r="T75" s="77"/>
      <c r="U75" s="77"/>
      <c r="V75" s="77"/>
      <c r="W75" s="77"/>
      <c r="X75" s="29"/>
      <c r="Y75" s="29"/>
    </row>
    <row r="76" spans="1:25" ht="15.75" thickBot="1" x14ac:dyDescent="0.3">
      <c r="A76" s="81"/>
      <c r="B76" s="81" t="s">
        <v>287</v>
      </c>
      <c r="C76" s="82">
        <f t="shared" ref="C76:J76" si="5">SUM(C5:C75)</f>
        <v>83321.5</v>
      </c>
      <c r="D76" s="83">
        <f t="shared" si="5"/>
        <v>2353.920000000001</v>
      </c>
      <c r="E76" s="84">
        <f t="shared" si="5"/>
        <v>88820.94</v>
      </c>
      <c r="F76" s="82">
        <f t="shared" si="5"/>
        <v>85675.42</v>
      </c>
      <c r="G76" s="85">
        <f t="shared" si="5"/>
        <v>496.72</v>
      </c>
      <c r="H76" s="85">
        <f t="shared" si="5"/>
        <v>956.3</v>
      </c>
      <c r="I76" s="85">
        <f t="shared" si="5"/>
        <v>1232</v>
      </c>
      <c r="J76" s="85">
        <f t="shared" si="5"/>
        <v>1416.8</v>
      </c>
      <c r="K76" s="86">
        <f t="shared" ref="K76:P76" si="6">SUM(K5:K75)</f>
        <v>88320.94</v>
      </c>
      <c r="L76" s="87">
        <f t="shared" si="6"/>
        <v>85175.42</v>
      </c>
      <c r="M76" s="88">
        <f t="shared" si="6"/>
        <v>496.72</v>
      </c>
      <c r="N76" s="88">
        <f t="shared" si="6"/>
        <v>956.3</v>
      </c>
      <c r="O76" s="88">
        <f t="shared" si="6"/>
        <v>1232</v>
      </c>
      <c r="P76" s="89">
        <f t="shared" si="6"/>
        <v>1416.8</v>
      </c>
      <c r="Q76" s="495"/>
      <c r="R76" s="84">
        <f t="shared" ref="R76:W76" si="7">SUM(R5:R75)</f>
        <v>92398</v>
      </c>
      <c r="S76" s="82">
        <f t="shared" si="7"/>
        <v>90927</v>
      </c>
      <c r="T76" s="85">
        <f t="shared" si="7"/>
        <v>0</v>
      </c>
      <c r="U76" s="85">
        <f t="shared" si="7"/>
        <v>0</v>
      </c>
      <c r="V76" s="85">
        <f t="shared" si="7"/>
        <v>1201</v>
      </c>
      <c r="W76" s="85">
        <f t="shared" si="7"/>
        <v>270</v>
      </c>
      <c r="X76" s="29"/>
      <c r="Y76" s="29"/>
    </row>
    <row r="77" spans="1:25" x14ac:dyDescent="0.25">
      <c r="A77" s="81" t="s">
        <v>288</v>
      </c>
      <c r="B77" s="81"/>
      <c r="C77" s="90"/>
      <c r="D77" s="91"/>
      <c r="E77" s="90"/>
      <c r="F77" s="92">
        <f>F76-C76</f>
        <v>2353.9199999999983</v>
      </c>
      <c r="G77" s="81"/>
      <c r="H77" s="81"/>
      <c r="I77" s="81"/>
      <c r="J77" s="81"/>
      <c r="K77" s="29"/>
      <c r="L77" s="29"/>
      <c r="M77" s="29"/>
      <c r="N77" s="29"/>
      <c r="O77" s="29"/>
      <c r="P77" s="29"/>
      <c r="R77" s="90"/>
      <c r="S77" s="92">
        <f>S76-L76</f>
        <v>5751.5800000000017</v>
      </c>
      <c r="T77" s="81"/>
      <c r="U77" s="81"/>
      <c r="V77" s="81"/>
      <c r="W77" s="81"/>
      <c r="X77" s="29"/>
      <c r="Y77" s="29"/>
    </row>
    <row r="78" spans="1:25" x14ac:dyDescent="0.25">
      <c r="A78" s="93" t="s">
        <v>289</v>
      </c>
      <c r="B78" s="93"/>
      <c r="C78" s="90"/>
      <c r="D78" s="94"/>
      <c r="E78" s="95"/>
      <c r="F78" s="96">
        <f>F76/C76</f>
        <v>1.0282510516493342</v>
      </c>
      <c r="G78" s="93"/>
      <c r="H78" s="93"/>
      <c r="I78" s="93"/>
      <c r="J78" s="93"/>
      <c r="K78" s="29"/>
      <c r="L78" s="29"/>
      <c r="M78" s="29"/>
      <c r="N78" s="29"/>
      <c r="O78" s="29"/>
      <c r="P78" s="29"/>
      <c r="R78" s="95"/>
      <c r="S78" s="96">
        <f>S76/L76</f>
        <v>1.067526288687511</v>
      </c>
      <c r="T78" s="93"/>
      <c r="U78" s="93"/>
      <c r="V78" s="93"/>
      <c r="W78" s="93"/>
      <c r="X78" s="29"/>
      <c r="Y78" s="29"/>
    </row>
    <row r="79" spans="1:25" s="98" customFormat="1" x14ac:dyDescent="0.25">
      <c r="A79" s="97" t="s">
        <v>290</v>
      </c>
      <c r="B79" s="29"/>
      <c r="C79" s="84">
        <v>855.17899999999997</v>
      </c>
      <c r="D79" s="31"/>
      <c r="E79" s="30"/>
      <c r="F79" s="92">
        <f>F76-C76-C79</f>
        <v>1498.7409999999982</v>
      </c>
      <c r="G79" s="29"/>
      <c r="H79" s="29"/>
      <c r="I79" s="29"/>
      <c r="J79" s="29"/>
      <c r="L79" s="84">
        <v>801.68499999999995</v>
      </c>
      <c r="M79" s="29"/>
      <c r="N79" s="29"/>
      <c r="O79" s="29"/>
      <c r="P79" s="29"/>
      <c r="Q79"/>
      <c r="R79" s="30"/>
      <c r="S79" s="92">
        <f>S76-L76-L79</f>
        <v>4949.8950000000023</v>
      </c>
      <c r="T79" s="29"/>
      <c r="U79" s="29"/>
      <c r="V79" s="29"/>
      <c r="W79" s="29"/>
      <c r="X79" s="29"/>
      <c r="Y79" s="29"/>
    </row>
    <row r="80" spans="1:25" x14ac:dyDescent="0.25">
      <c r="A80" s="97"/>
      <c r="C80" s="99"/>
      <c r="F80" s="100"/>
      <c r="K80" s="29"/>
      <c r="L80" s="29"/>
      <c r="M80" s="29"/>
      <c r="N80" s="29"/>
      <c r="O80" s="29"/>
      <c r="P80" s="29"/>
      <c r="S80" s="100"/>
      <c r="X80" s="29"/>
      <c r="Y80" s="29"/>
    </row>
    <row r="81" spans="1:29" x14ac:dyDescent="0.25">
      <c r="A81" s="97"/>
      <c r="C81" s="99"/>
      <c r="F81" s="100"/>
      <c r="K81" s="29"/>
      <c r="L81" s="101"/>
      <c r="M81" s="29"/>
      <c r="N81" s="29"/>
      <c r="O81" s="29"/>
      <c r="P81" s="29"/>
      <c r="S81" s="100"/>
      <c r="X81" s="29"/>
      <c r="Y81" s="29"/>
    </row>
    <row r="82" spans="1:29" x14ac:dyDescent="0.25">
      <c r="A82" s="97" t="s">
        <v>291</v>
      </c>
      <c r="B82"/>
      <c r="C82" s="99"/>
      <c r="F82" s="100"/>
      <c r="K82" s="29"/>
      <c r="L82" s="29"/>
      <c r="M82" s="29"/>
      <c r="N82" s="29"/>
      <c r="O82" s="29"/>
      <c r="P82" s="29"/>
      <c r="S82" s="92">
        <v>1557.6</v>
      </c>
      <c r="X82" s="29"/>
      <c r="Y82" s="29"/>
    </row>
    <row r="83" spans="1:29" x14ac:dyDescent="0.25">
      <c r="B83"/>
      <c r="K83" s="29"/>
      <c r="L83" s="29"/>
      <c r="M83" s="29"/>
      <c r="N83" s="29"/>
      <c r="O83" s="29"/>
      <c r="P83" s="29"/>
    </row>
    <row r="84" spans="1:29" x14ac:dyDescent="0.25">
      <c r="B84"/>
      <c r="K84" s="29"/>
      <c r="L84" s="29"/>
      <c r="M84" s="29"/>
      <c r="N84" s="29"/>
      <c r="O84" s="29"/>
      <c r="P84" s="29"/>
      <c r="X84" s="29"/>
      <c r="Y84" s="29"/>
    </row>
    <row r="85" spans="1:29" x14ac:dyDescent="0.25">
      <c r="B85"/>
      <c r="X85" s="29"/>
      <c r="Y85" s="29"/>
    </row>
    <row r="86" spans="1:29" customFormat="1" x14ac:dyDescent="0.25">
      <c r="A86" s="29"/>
      <c r="C86" s="30"/>
      <c r="D86" s="31"/>
      <c r="E86" s="30"/>
      <c r="F86" s="30"/>
      <c r="G86" s="29"/>
      <c r="H86" s="29"/>
      <c r="I86" s="29"/>
      <c r="J86" s="29"/>
      <c r="K86" s="33"/>
      <c r="L86" s="33"/>
      <c r="M86" s="33"/>
      <c r="N86" s="33"/>
      <c r="O86" s="33"/>
      <c r="P86" s="33"/>
      <c r="R86" s="30"/>
      <c r="S86" s="30"/>
      <c r="T86" s="29"/>
      <c r="U86" s="29"/>
      <c r="V86" s="29"/>
      <c r="W86" s="29"/>
      <c r="X86" s="32"/>
      <c r="Y86" s="32"/>
      <c r="Z86" s="33"/>
      <c r="AA86" s="33"/>
      <c r="AB86" s="33"/>
      <c r="AC86" s="33"/>
    </row>
    <row r="87" spans="1:29" customFormat="1" x14ac:dyDescent="0.25">
      <c r="A87" s="29"/>
      <c r="C87" s="30"/>
      <c r="D87" s="31"/>
      <c r="E87" s="30"/>
      <c r="F87" s="30"/>
      <c r="G87" s="29"/>
      <c r="H87" s="29"/>
      <c r="I87" s="29"/>
      <c r="J87" s="29"/>
      <c r="K87" s="33"/>
      <c r="L87" s="33"/>
      <c r="M87" s="33"/>
      <c r="N87" s="33"/>
      <c r="O87" s="33"/>
      <c r="P87" s="33"/>
      <c r="R87" s="30"/>
      <c r="S87" s="30"/>
      <c r="T87" s="29"/>
      <c r="U87" s="29"/>
      <c r="V87" s="29"/>
      <c r="W87" s="29"/>
      <c r="X87" s="32"/>
      <c r="Y87" s="32"/>
      <c r="Z87" s="33"/>
      <c r="AA87" s="33"/>
      <c r="AB87" s="33"/>
      <c r="AC87" s="33"/>
    </row>
    <row r="88" spans="1:29" customFormat="1" x14ac:dyDescent="0.25">
      <c r="A88" s="29"/>
      <c r="C88" s="30"/>
      <c r="D88" s="31"/>
      <c r="E88" s="30"/>
      <c r="F88" s="30"/>
      <c r="G88" s="29"/>
      <c r="H88" s="29"/>
      <c r="I88" s="29"/>
      <c r="J88" s="29"/>
      <c r="K88" s="33"/>
      <c r="L88" s="33"/>
      <c r="M88" s="33"/>
      <c r="N88" s="33"/>
      <c r="O88" s="33"/>
      <c r="P88" s="33"/>
      <c r="R88" s="30"/>
      <c r="S88" s="30"/>
      <c r="T88" s="29"/>
      <c r="U88" s="29"/>
      <c r="V88" s="29"/>
      <c r="W88" s="29"/>
      <c r="X88" s="32"/>
      <c r="Y88" s="32"/>
    </row>
    <row r="89" spans="1:29" customFormat="1" x14ac:dyDescent="0.25">
      <c r="A89" s="29"/>
      <c r="C89" s="30"/>
      <c r="D89" s="31"/>
      <c r="E89" s="30"/>
      <c r="F89" s="30"/>
      <c r="G89" s="29"/>
      <c r="H89" s="29"/>
      <c r="I89" s="29"/>
      <c r="J89" s="29"/>
      <c r="K89" s="33"/>
      <c r="L89" s="33"/>
      <c r="M89" s="33"/>
      <c r="N89" s="33"/>
      <c r="O89" s="33"/>
      <c r="P89" s="33"/>
      <c r="R89" s="30"/>
      <c r="S89" s="30"/>
      <c r="T89" s="29"/>
      <c r="U89" s="29"/>
      <c r="V89" s="29"/>
      <c r="W89" s="29"/>
      <c r="X89" s="32"/>
      <c r="Y89" s="32"/>
    </row>
    <row r="90" spans="1:29" customFormat="1" x14ac:dyDescent="0.25">
      <c r="A90" s="29"/>
      <c r="C90" s="30"/>
      <c r="D90" s="31"/>
      <c r="E90" s="30"/>
      <c r="F90" s="30"/>
      <c r="G90" s="29"/>
      <c r="H90" s="29"/>
      <c r="I90" s="29"/>
      <c r="J90" s="29"/>
      <c r="K90" s="33"/>
      <c r="L90" s="33"/>
      <c r="M90" s="33"/>
      <c r="N90" s="33"/>
      <c r="O90" s="33"/>
      <c r="P90" s="33"/>
      <c r="R90" s="30"/>
      <c r="S90" s="30"/>
      <c r="T90" s="29"/>
      <c r="U90" s="29"/>
      <c r="V90" s="29"/>
      <c r="W90" s="29"/>
      <c r="X90" s="32"/>
      <c r="Y90" s="32"/>
    </row>
    <row r="91" spans="1:29" customFormat="1" x14ac:dyDescent="0.25">
      <c r="A91" s="29"/>
      <c r="C91" s="30"/>
      <c r="D91" s="31"/>
      <c r="E91" s="30"/>
      <c r="F91" s="30"/>
      <c r="G91" s="29"/>
      <c r="H91" s="29"/>
      <c r="I91" s="29"/>
      <c r="J91" s="29"/>
      <c r="K91" s="33"/>
      <c r="L91" s="33"/>
      <c r="M91" s="33"/>
      <c r="N91" s="33"/>
      <c r="O91" s="33"/>
      <c r="P91" s="33"/>
      <c r="R91" s="30"/>
      <c r="S91" s="30"/>
      <c r="T91" s="29"/>
      <c r="U91" s="29"/>
      <c r="V91" s="29"/>
      <c r="W91" s="29"/>
      <c r="X91" s="32"/>
      <c r="Y91" s="32"/>
    </row>
    <row r="92" spans="1:29" customFormat="1" x14ac:dyDescent="0.25">
      <c r="A92" s="29"/>
      <c r="C92" s="30"/>
      <c r="D92" s="31"/>
      <c r="E92" s="30"/>
      <c r="F92" s="30"/>
      <c r="G92" s="29"/>
      <c r="H92" s="29"/>
      <c r="I92" s="29"/>
      <c r="J92" s="29"/>
      <c r="K92" s="33"/>
      <c r="L92" s="33"/>
      <c r="M92" s="33"/>
      <c r="N92" s="33"/>
      <c r="O92" s="33"/>
      <c r="P92" s="33"/>
      <c r="R92" s="30"/>
      <c r="S92" s="30"/>
      <c r="T92" s="29"/>
      <c r="U92" s="29"/>
      <c r="V92" s="29"/>
      <c r="W92" s="29"/>
      <c r="X92" s="32"/>
      <c r="Y92" s="32"/>
    </row>
    <row r="93" spans="1:29" customFormat="1" x14ac:dyDescent="0.25">
      <c r="A93" s="29"/>
      <c r="C93" s="30"/>
      <c r="D93" s="31"/>
      <c r="E93" s="30"/>
      <c r="F93" s="30"/>
      <c r="G93" s="29"/>
      <c r="H93" s="29"/>
      <c r="I93" s="29"/>
      <c r="J93" s="29"/>
      <c r="K93" s="33"/>
      <c r="L93" s="33"/>
      <c r="M93" s="33"/>
      <c r="N93" s="33"/>
      <c r="O93" s="33"/>
      <c r="P93" s="33"/>
      <c r="R93" s="30"/>
      <c r="S93" s="30"/>
      <c r="T93" s="29"/>
      <c r="U93" s="29"/>
      <c r="V93" s="29"/>
      <c r="W93" s="29"/>
      <c r="X93" s="32"/>
      <c r="Y93" s="32"/>
    </row>
    <row r="94" spans="1:29" customFormat="1" x14ac:dyDescent="0.25">
      <c r="A94" s="29"/>
      <c r="C94" s="30"/>
      <c r="D94" s="31"/>
      <c r="E94" s="30"/>
      <c r="F94" s="30"/>
      <c r="G94" s="29"/>
      <c r="H94" s="29"/>
      <c r="I94" s="29"/>
      <c r="J94" s="29"/>
      <c r="K94" s="33"/>
      <c r="L94" s="33"/>
      <c r="M94" s="33"/>
      <c r="N94" s="33"/>
      <c r="O94" s="33"/>
      <c r="P94" s="33"/>
      <c r="R94" s="30"/>
      <c r="S94" s="30"/>
      <c r="T94" s="29"/>
      <c r="U94" s="29"/>
      <c r="V94" s="29"/>
      <c r="W94" s="29"/>
      <c r="X94" s="32"/>
      <c r="Y94" s="32"/>
    </row>
    <row r="95" spans="1:29" customFormat="1" x14ac:dyDescent="0.25">
      <c r="A95" s="29"/>
      <c r="C95" s="30"/>
      <c r="D95" s="31"/>
      <c r="E95" s="30"/>
      <c r="F95" s="30"/>
      <c r="G95" s="29"/>
      <c r="H95" s="29"/>
      <c r="I95" s="29"/>
      <c r="J95" s="29"/>
      <c r="K95" s="33"/>
      <c r="L95" s="33"/>
      <c r="M95" s="33"/>
      <c r="N95" s="33"/>
      <c r="O95" s="33"/>
      <c r="P95" s="33"/>
      <c r="R95" s="30"/>
      <c r="S95" s="30"/>
      <c r="T95" s="29"/>
      <c r="U95" s="29"/>
      <c r="V95" s="29"/>
      <c r="W95" s="29"/>
      <c r="X95" s="32"/>
      <c r="Y95" s="32"/>
    </row>
    <row r="96" spans="1:29" customFormat="1" x14ac:dyDescent="0.25">
      <c r="A96" s="29"/>
      <c r="C96" s="30"/>
      <c r="D96" s="31"/>
      <c r="E96" s="30"/>
      <c r="F96" s="30"/>
      <c r="G96" s="29"/>
      <c r="H96" s="29"/>
      <c r="I96" s="29"/>
      <c r="J96" s="29"/>
      <c r="K96" s="33"/>
      <c r="L96" s="33"/>
      <c r="M96" s="33"/>
      <c r="N96" s="33"/>
      <c r="O96" s="33"/>
      <c r="P96" s="33"/>
      <c r="R96" s="30"/>
      <c r="S96" s="30"/>
      <c r="T96" s="29"/>
      <c r="U96" s="29"/>
      <c r="V96" s="29"/>
      <c r="W96" s="29"/>
      <c r="X96" s="32"/>
      <c r="Y96" s="32"/>
    </row>
    <row r="97" spans="1:25" customFormat="1" x14ac:dyDescent="0.25">
      <c r="A97" s="29"/>
      <c r="C97" s="30"/>
      <c r="D97" s="31"/>
      <c r="E97" s="30"/>
      <c r="F97" s="30"/>
      <c r="G97" s="29"/>
      <c r="H97" s="29"/>
      <c r="I97" s="29"/>
      <c r="J97" s="29"/>
      <c r="K97" s="33"/>
      <c r="L97" s="33"/>
      <c r="M97" s="33"/>
      <c r="N97" s="33"/>
      <c r="O97" s="33"/>
      <c r="P97" s="33"/>
      <c r="R97" s="30"/>
      <c r="S97" s="30"/>
      <c r="T97" s="29"/>
      <c r="U97" s="29"/>
      <c r="V97" s="29"/>
      <c r="W97" s="29"/>
      <c r="X97" s="32"/>
      <c r="Y97" s="32"/>
    </row>
    <row r="98" spans="1:25" customFormat="1" x14ac:dyDescent="0.25">
      <c r="A98" s="29"/>
      <c r="C98" s="30"/>
      <c r="D98" s="31"/>
      <c r="E98" s="30"/>
      <c r="F98" s="30"/>
      <c r="G98" s="29"/>
      <c r="H98" s="29"/>
      <c r="I98" s="29"/>
      <c r="J98" s="29"/>
      <c r="K98" s="33"/>
      <c r="L98" s="33"/>
      <c r="M98" s="33"/>
      <c r="N98" s="33"/>
      <c r="O98" s="33"/>
      <c r="P98" s="33"/>
      <c r="R98" s="30"/>
      <c r="S98" s="30"/>
      <c r="T98" s="29"/>
      <c r="U98" s="29"/>
      <c r="V98" s="29"/>
      <c r="W98" s="29"/>
      <c r="X98" s="32"/>
      <c r="Y98" s="32"/>
    </row>
    <row r="99" spans="1:25" customFormat="1" x14ac:dyDescent="0.25">
      <c r="A99" s="29"/>
      <c r="C99" s="30"/>
      <c r="D99" s="31"/>
      <c r="E99" s="30"/>
      <c r="F99" s="30"/>
      <c r="G99" s="29"/>
      <c r="H99" s="29"/>
      <c r="I99" s="29"/>
      <c r="J99" s="29"/>
      <c r="K99" s="33"/>
      <c r="L99" s="33"/>
      <c r="M99" s="33"/>
      <c r="N99" s="33"/>
      <c r="O99" s="33"/>
      <c r="P99" s="33"/>
      <c r="R99" s="30"/>
      <c r="S99" s="30"/>
      <c r="T99" s="29"/>
      <c r="U99" s="29"/>
      <c r="V99" s="29"/>
      <c r="W99" s="29"/>
      <c r="X99" s="32"/>
      <c r="Y99" s="32"/>
    </row>
    <row r="100" spans="1:25" customFormat="1" x14ac:dyDescent="0.25">
      <c r="A100" s="29"/>
      <c r="C100" s="30"/>
      <c r="D100" s="31"/>
      <c r="E100" s="30"/>
      <c r="F100" s="30"/>
      <c r="G100" s="29"/>
      <c r="H100" s="29"/>
      <c r="I100" s="29"/>
      <c r="J100" s="29"/>
      <c r="K100" s="33"/>
      <c r="L100" s="33"/>
      <c r="M100" s="33"/>
      <c r="N100" s="33"/>
      <c r="O100" s="33"/>
      <c r="P100" s="33"/>
      <c r="R100" s="30"/>
      <c r="S100" s="30"/>
      <c r="T100" s="29"/>
      <c r="U100" s="29"/>
      <c r="V100" s="29"/>
      <c r="W100" s="29"/>
      <c r="X100" s="32"/>
      <c r="Y100" s="32"/>
    </row>
    <row r="101" spans="1:25" customFormat="1" x14ac:dyDescent="0.25">
      <c r="A101" s="29"/>
      <c r="C101" s="30"/>
      <c r="D101" s="31"/>
      <c r="E101" s="30"/>
      <c r="F101" s="30"/>
      <c r="G101" s="29"/>
      <c r="H101" s="29"/>
      <c r="I101" s="29"/>
      <c r="J101" s="29"/>
      <c r="K101" s="33"/>
      <c r="L101" s="33"/>
      <c r="M101" s="33"/>
      <c r="N101" s="33"/>
      <c r="O101" s="33"/>
      <c r="P101" s="33"/>
      <c r="R101" s="30"/>
      <c r="S101" s="30"/>
      <c r="T101" s="29"/>
      <c r="U101" s="29"/>
      <c r="V101" s="29"/>
      <c r="W101" s="29"/>
      <c r="X101" s="32"/>
      <c r="Y101" s="32"/>
    </row>
    <row r="102" spans="1:25" customFormat="1" x14ac:dyDescent="0.25">
      <c r="A102" s="29"/>
      <c r="C102" s="30"/>
      <c r="D102" s="31"/>
      <c r="E102" s="30"/>
      <c r="F102" s="30"/>
      <c r="G102" s="29"/>
      <c r="H102" s="29"/>
      <c r="I102" s="29"/>
      <c r="J102" s="29"/>
      <c r="K102" s="33"/>
      <c r="L102" s="33"/>
      <c r="M102" s="33"/>
      <c r="N102" s="33"/>
      <c r="O102" s="33"/>
      <c r="P102" s="33"/>
      <c r="R102" s="30"/>
      <c r="S102" s="30"/>
      <c r="T102" s="29"/>
      <c r="U102" s="29"/>
      <c r="V102" s="29"/>
      <c r="W102" s="29"/>
      <c r="X102" s="32"/>
      <c r="Y102" s="32"/>
    </row>
    <row r="103" spans="1:25" customFormat="1" x14ac:dyDescent="0.25">
      <c r="A103" s="29"/>
      <c r="C103" s="30"/>
      <c r="D103" s="31"/>
      <c r="E103" s="30"/>
      <c r="F103" s="30"/>
      <c r="G103" s="29"/>
      <c r="H103" s="29"/>
      <c r="I103" s="29"/>
      <c r="J103" s="29"/>
      <c r="K103" s="33"/>
      <c r="L103" s="33"/>
      <c r="M103" s="33"/>
      <c r="N103" s="33"/>
      <c r="O103" s="33"/>
      <c r="P103" s="33"/>
      <c r="R103" s="30"/>
      <c r="S103" s="30"/>
      <c r="T103" s="29"/>
      <c r="U103" s="29"/>
      <c r="V103" s="29"/>
      <c r="W103" s="29"/>
      <c r="X103" s="32"/>
      <c r="Y103" s="32"/>
    </row>
    <row r="104" spans="1:25" customFormat="1" x14ac:dyDescent="0.25">
      <c r="A104" s="29"/>
      <c r="C104" s="30"/>
      <c r="D104" s="31"/>
      <c r="E104" s="30"/>
      <c r="F104" s="30"/>
      <c r="G104" s="29"/>
      <c r="H104" s="29"/>
      <c r="I104" s="29"/>
      <c r="J104" s="29"/>
      <c r="K104" s="33"/>
      <c r="L104" s="33"/>
      <c r="M104" s="33"/>
      <c r="N104" s="33"/>
      <c r="O104" s="33"/>
      <c r="P104" s="33"/>
      <c r="R104" s="30"/>
      <c r="S104" s="30"/>
      <c r="T104" s="29"/>
      <c r="U104" s="29"/>
      <c r="V104" s="29"/>
      <c r="W104" s="29"/>
      <c r="X104" s="32"/>
      <c r="Y104" s="32"/>
    </row>
    <row r="105" spans="1:25" customFormat="1" x14ac:dyDescent="0.25">
      <c r="A105" s="29"/>
      <c r="C105" s="30"/>
      <c r="D105" s="31"/>
      <c r="E105" s="30"/>
      <c r="F105" s="30"/>
      <c r="G105" s="29"/>
      <c r="H105" s="29"/>
      <c r="I105" s="29"/>
      <c r="J105" s="29"/>
      <c r="K105" s="33"/>
      <c r="L105" s="33"/>
      <c r="M105" s="33"/>
      <c r="N105" s="33"/>
      <c r="O105" s="33"/>
      <c r="P105" s="33"/>
      <c r="R105" s="30"/>
      <c r="S105" s="30"/>
      <c r="T105" s="29"/>
      <c r="U105" s="29"/>
      <c r="V105" s="29"/>
      <c r="W105" s="29"/>
      <c r="X105" s="32"/>
      <c r="Y105" s="32"/>
    </row>
    <row r="106" spans="1:25" customFormat="1" x14ac:dyDescent="0.25">
      <c r="A106" s="29"/>
      <c r="C106" s="30"/>
      <c r="D106" s="31"/>
      <c r="E106" s="30"/>
      <c r="F106" s="30"/>
      <c r="G106" s="29"/>
      <c r="H106" s="29"/>
      <c r="I106" s="29"/>
      <c r="J106" s="29"/>
      <c r="K106" s="33"/>
      <c r="L106" s="33"/>
      <c r="M106" s="33"/>
      <c r="N106" s="33"/>
      <c r="O106" s="33"/>
      <c r="P106" s="33"/>
      <c r="R106" s="30"/>
      <c r="S106" s="30"/>
      <c r="T106" s="29"/>
      <c r="U106" s="29"/>
      <c r="V106" s="29"/>
      <c r="W106" s="29"/>
      <c r="X106" s="32"/>
      <c r="Y106" s="32"/>
    </row>
    <row r="107" spans="1:25" customFormat="1" x14ac:dyDescent="0.25">
      <c r="A107" s="29"/>
      <c r="C107" s="30"/>
      <c r="D107" s="31"/>
      <c r="E107" s="30"/>
      <c r="F107" s="30"/>
      <c r="G107" s="29"/>
      <c r="H107" s="29"/>
      <c r="I107" s="29"/>
      <c r="J107" s="29"/>
      <c r="K107" s="33"/>
      <c r="L107" s="33"/>
      <c r="M107" s="33"/>
      <c r="N107" s="33"/>
      <c r="O107" s="33"/>
      <c r="P107" s="33"/>
      <c r="R107" s="30"/>
      <c r="S107" s="30"/>
      <c r="T107" s="29"/>
      <c r="U107" s="29"/>
      <c r="V107" s="29"/>
      <c r="W107" s="29"/>
      <c r="X107" s="32"/>
      <c r="Y107" s="32"/>
    </row>
    <row r="108" spans="1:25" customFormat="1" x14ac:dyDescent="0.25">
      <c r="A108" s="29"/>
      <c r="C108" s="30"/>
      <c r="D108" s="31"/>
      <c r="E108" s="30"/>
      <c r="F108" s="30"/>
      <c r="G108" s="29"/>
      <c r="H108" s="29"/>
      <c r="I108" s="29"/>
      <c r="J108" s="29"/>
      <c r="K108" s="33"/>
      <c r="L108" s="33"/>
      <c r="M108" s="33"/>
      <c r="N108" s="33"/>
      <c r="O108" s="33"/>
      <c r="P108" s="33"/>
      <c r="R108" s="30"/>
      <c r="S108" s="30"/>
      <c r="T108" s="29"/>
      <c r="U108" s="29"/>
      <c r="V108" s="29"/>
      <c r="W108" s="29"/>
      <c r="X108" s="32"/>
      <c r="Y108" s="32"/>
    </row>
    <row r="109" spans="1:25" customFormat="1" x14ac:dyDescent="0.25">
      <c r="A109" s="29"/>
      <c r="C109" s="30"/>
      <c r="D109" s="31"/>
      <c r="E109" s="30"/>
      <c r="F109" s="30"/>
      <c r="G109" s="29"/>
      <c r="H109" s="29"/>
      <c r="I109" s="29"/>
      <c r="J109" s="29"/>
      <c r="K109" s="33"/>
      <c r="L109" s="33"/>
      <c r="M109" s="33"/>
      <c r="N109" s="33"/>
      <c r="O109" s="33"/>
      <c r="P109" s="33"/>
      <c r="R109" s="30"/>
      <c r="S109" s="30"/>
      <c r="T109" s="29"/>
      <c r="U109" s="29"/>
      <c r="V109" s="29"/>
      <c r="W109" s="29"/>
      <c r="X109" s="32"/>
      <c r="Y109" s="32"/>
    </row>
    <row r="110" spans="1:25" customFormat="1" x14ac:dyDescent="0.25">
      <c r="A110" s="29"/>
      <c r="C110" s="30"/>
      <c r="D110" s="31"/>
      <c r="E110" s="30"/>
      <c r="F110" s="30"/>
      <c r="G110" s="29"/>
      <c r="H110" s="29"/>
      <c r="I110" s="29"/>
      <c r="J110" s="29"/>
      <c r="K110" s="33"/>
      <c r="L110" s="33"/>
      <c r="M110" s="33"/>
      <c r="N110" s="33"/>
      <c r="O110" s="33"/>
      <c r="P110" s="33"/>
      <c r="R110" s="30"/>
      <c r="S110" s="30"/>
      <c r="T110" s="29"/>
      <c r="U110" s="29"/>
      <c r="V110" s="29"/>
      <c r="W110" s="29"/>
      <c r="X110" s="32"/>
      <c r="Y110" s="32"/>
    </row>
    <row r="111" spans="1:25" customFormat="1" x14ac:dyDescent="0.25">
      <c r="A111" s="29"/>
      <c r="C111" s="30"/>
      <c r="D111" s="31"/>
      <c r="E111" s="30"/>
      <c r="F111" s="30"/>
      <c r="G111" s="29"/>
      <c r="H111" s="29"/>
      <c r="I111" s="29"/>
      <c r="J111" s="29"/>
      <c r="K111" s="33"/>
      <c r="L111" s="33"/>
      <c r="M111" s="33"/>
      <c r="N111" s="33"/>
      <c r="O111" s="33"/>
      <c r="P111" s="33"/>
      <c r="R111" s="30"/>
      <c r="S111" s="30"/>
      <c r="T111" s="29"/>
      <c r="U111" s="29"/>
      <c r="V111" s="29"/>
      <c r="W111" s="29"/>
      <c r="X111" s="32"/>
      <c r="Y111" s="32"/>
    </row>
    <row r="112" spans="1:25" customFormat="1" x14ac:dyDescent="0.25">
      <c r="A112" s="29"/>
      <c r="C112" s="30"/>
      <c r="D112" s="31"/>
      <c r="E112" s="30"/>
      <c r="F112" s="30"/>
      <c r="G112" s="29"/>
      <c r="H112" s="29"/>
      <c r="I112" s="29"/>
      <c r="J112" s="29"/>
      <c r="K112" s="33"/>
      <c r="L112" s="33"/>
      <c r="M112" s="33"/>
      <c r="N112" s="33"/>
      <c r="O112" s="33"/>
      <c r="P112" s="33"/>
      <c r="R112" s="30"/>
      <c r="S112" s="30"/>
      <c r="T112" s="29"/>
      <c r="U112" s="29"/>
      <c r="V112" s="29"/>
      <c r="W112" s="29"/>
      <c r="X112" s="32"/>
      <c r="Y112" s="32"/>
    </row>
    <row r="113" spans="1:25" customFormat="1" x14ac:dyDescent="0.25">
      <c r="A113" s="29"/>
      <c r="C113" s="30"/>
      <c r="D113" s="31"/>
      <c r="E113" s="30"/>
      <c r="F113" s="30"/>
      <c r="G113" s="29"/>
      <c r="H113" s="29"/>
      <c r="I113" s="29"/>
      <c r="J113" s="29"/>
      <c r="K113" s="33"/>
      <c r="L113" s="33"/>
      <c r="M113" s="33"/>
      <c r="N113" s="33"/>
      <c r="O113" s="33"/>
      <c r="P113" s="33"/>
      <c r="R113" s="30"/>
      <c r="S113" s="30"/>
      <c r="T113" s="29"/>
      <c r="U113" s="29"/>
      <c r="V113" s="29"/>
      <c r="W113" s="29"/>
      <c r="X113" s="32"/>
      <c r="Y113" s="32"/>
    </row>
    <row r="114" spans="1:25" customFormat="1" x14ac:dyDescent="0.25">
      <c r="A114" s="29"/>
      <c r="C114" s="30"/>
      <c r="D114" s="31"/>
      <c r="E114" s="30"/>
      <c r="F114" s="30"/>
      <c r="G114" s="29"/>
      <c r="H114" s="29"/>
      <c r="I114" s="29"/>
      <c r="J114" s="29"/>
      <c r="K114" s="33"/>
      <c r="L114" s="33"/>
      <c r="M114" s="33"/>
      <c r="N114" s="33"/>
      <c r="O114" s="33"/>
      <c r="P114" s="33"/>
      <c r="R114" s="30"/>
      <c r="S114" s="30"/>
      <c r="T114" s="29"/>
      <c r="U114" s="29"/>
      <c r="V114" s="29"/>
      <c r="W114" s="29"/>
      <c r="X114" s="32"/>
      <c r="Y114" s="32"/>
    </row>
    <row r="115" spans="1:25" customFormat="1" x14ac:dyDescent="0.25">
      <c r="A115" s="29"/>
      <c r="C115" s="30"/>
      <c r="D115" s="31"/>
      <c r="E115" s="30"/>
      <c r="F115" s="30"/>
      <c r="G115" s="29"/>
      <c r="H115" s="29"/>
      <c r="I115" s="29"/>
      <c r="J115" s="29"/>
      <c r="K115" s="33"/>
      <c r="L115" s="33"/>
      <c r="M115" s="33"/>
      <c r="N115" s="33"/>
      <c r="O115" s="33"/>
      <c r="P115" s="33"/>
      <c r="R115" s="30"/>
      <c r="S115" s="30"/>
      <c r="T115" s="29"/>
      <c r="U115" s="29"/>
      <c r="V115" s="29"/>
      <c r="W115" s="29"/>
      <c r="X115" s="32"/>
      <c r="Y115" s="32"/>
    </row>
    <row r="116" spans="1:25" customFormat="1" x14ac:dyDescent="0.25">
      <c r="A116" s="29"/>
      <c r="C116" s="30"/>
      <c r="D116" s="31"/>
      <c r="E116" s="30"/>
      <c r="F116" s="30"/>
      <c r="G116" s="29"/>
      <c r="H116" s="29"/>
      <c r="I116" s="29"/>
      <c r="J116" s="29"/>
      <c r="K116" s="33"/>
      <c r="L116" s="33"/>
      <c r="M116" s="33"/>
      <c r="N116" s="33"/>
      <c r="O116" s="33"/>
      <c r="P116" s="33"/>
      <c r="R116" s="30"/>
      <c r="S116" s="30"/>
      <c r="T116" s="29"/>
      <c r="U116" s="29"/>
      <c r="V116" s="29"/>
      <c r="W116" s="29"/>
      <c r="X116" s="32"/>
      <c r="Y116" s="32"/>
    </row>
    <row r="117" spans="1:25" customFormat="1" x14ac:dyDescent="0.25">
      <c r="A117" s="29"/>
      <c r="C117" s="30"/>
      <c r="D117" s="31"/>
      <c r="E117" s="30"/>
      <c r="F117" s="30"/>
      <c r="G117" s="29"/>
      <c r="H117" s="29"/>
      <c r="I117" s="29"/>
      <c r="J117" s="29"/>
      <c r="K117" s="33"/>
      <c r="L117" s="33"/>
      <c r="M117" s="33"/>
      <c r="N117" s="33"/>
      <c r="O117" s="33"/>
      <c r="P117" s="33"/>
      <c r="R117" s="30"/>
      <c r="S117" s="30"/>
      <c r="T117" s="29"/>
      <c r="U117" s="29"/>
      <c r="V117" s="29"/>
      <c r="W117" s="29"/>
      <c r="X117" s="32"/>
      <c r="Y117" s="32"/>
    </row>
    <row r="118" spans="1:25" customFormat="1" x14ac:dyDescent="0.25">
      <c r="A118" s="29"/>
      <c r="C118" s="30"/>
      <c r="D118" s="31"/>
      <c r="E118" s="30"/>
      <c r="F118" s="30"/>
      <c r="G118" s="29"/>
      <c r="H118" s="29"/>
      <c r="I118" s="29"/>
      <c r="J118" s="29"/>
      <c r="K118" s="33"/>
      <c r="L118" s="33"/>
      <c r="M118" s="33"/>
      <c r="N118" s="33"/>
      <c r="O118" s="33"/>
      <c r="P118" s="33"/>
      <c r="R118" s="30"/>
      <c r="S118" s="30"/>
      <c r="T118" s="29"/>
      <c r="U118" s="29"/>
      <c r="V118" s="29"/>
      <c r="W118" s="29"/>
      <c r="X118" s="32"/>
      <c r="Y118" s="32"/>
    </row>
    <row r="119" spans="1:25" customFormat="1" x14ac:dyDescent="0.25">
      <c r="A119" s="29"/>
      <c r="C119" s="30"/>
      <c r="D119" s="31"/>
      <c r="E119" s="30"/>
      <c r="F119" s="30"/>
      <c r="G119" s="29"/>
      <c r="H119" s="29"/>
      <c r="I119" s="29"/>
      <c r="J119" s="29"/>
      <c r="K119" s="33"/>
      <c r="L119" s="33"/>
      <c r="M119" s="33"/>
      <c r="N119" s="33"/>
      <c r="O119" s="33"/>
      <c r="P119" s="33"/>
      <c r="R119" s="30"/>
      <c r="S119" s="30"/>
      <c r="T119" s="29"/>
      <c r="U119" s="29"/>
      <c r="V119" s="29"/>
      <c r="W119" s="29"/>
      <c r="X119" s="32"/>
      <c r="Y119" s="32"/>
    </row>
    <row r="120" spans="1:25" customFormat="1" x14ac:dyDescent="0.25">
      <c r="A120" s="29"/>
      <c r="C120" s="30"/>
      <c r="D120" s="31"/>
      <c r="E120" s="30"/>
      <c r="F120" s="30"/>
      <c r="G120" s="29"/>
      <c r="H120" s="29"/>
      <c r="I120" s="29"/>
      <c r="J120" s="29"/>
      <c r="K120" s="33"/>
      <c r="L120" s="33"/>
      <c r="M120" s="33"/>
      <c r="N120" s="33"/>
      <c r="O120" s="33"/>
      <c r="P120" s="33"/>
      <c r="R120" s="30"/>
      <c r="S120" s="30"/>
      <c r="T120" s="29"/>
      <c r="U120" s="29"/>
      <c r="V120" s="29"/>
      <c r="W120" s="29"/>
      <c r="X120" s="32"/>
      <c r="Y120" s="32"/>
    </row>
    <row r="121" spans="1:25" customFormat="1" x14ac:dyDescent="0.25">
      <c r="A121" s="29"/>
      <c r="C121" s="30"/>
      <c r="D121" s="31"/>
      <c r="E121" s="30"/>
      <c r="F121" s="30"/>
      <c r="G121" s="29"/>
      <c r="H121" s="29"/>
      <c r="I121" s="29"/>
      <c r="J121" s="29"/>
      <c r="K121" s="33"/>
      <c r="L121" s="33"/>
      <c r="M121" s="33"/>
      <c r="N121" s="33"/>
      <c r="O121" s="33"/>
      <c r="P121" s="33"/>
      <c r="R121" s="30"/>
      <c r="S121" s="30"/>
      <c r="T121" s="29"/>
      <c r="U121" s="29"/>
      <c r="V121" s="29"/>
      <c r="W121" s="29"/>
      <c r="X121" s="32"/>
      <c r="Y121" s="32"/>
    </row>
    <row r="122" spans="1:25" customFormat="1" x14ac:dyDescent="0.25">
      <c r="A122" s="29"/>
      <c r="C122" s="30"/>
      <c r="D122" s="31"/>
      <c r="E122" s="30"/>
      <c r="F122" s="30"/>
      <c r="G122" s="29"/>
      <c r="H122" s="29"/>
      <c r="I122" s="29"/>
      <c r="J122" s="29"/>
      <c r="K122" s="33"/>
      <c r="L122" s="33"/>
      <c r="M122" s="33"/>
      <c r="N122" s="33"/>
      <c r="O122" s="33"/>
      <c r="P122" s="33"/>
      <c r="R122" s="30"/>
      <c r="S122" s="30"/>
      <c r="T122" s="29"/>
      <c r="U122" s="29"/>
      <c r="V122" s="29"/>
      <c r="W122" s="29"/>
      <c r="X122" s="32"/>
      <c r="Y122" s="32"/>
    </row>
    <row r="123" spans="1:25" customFormat="1" x14ac:dyDescent="0.25">
      <c r="A123" s="29"/>
      <c r="C123" s="30"/>
      <c r="D123" s="31"/>
      <c r="E123" s="30"/>
      <c r="F123" s="30"/>
      <c r="G123" s="29"/>
      <c r="H123" s="29"/>
      <c r="I123" s="29"/>
      <c r="J123" s="29"/>
      <c r="K123" s="33"/>
      <c r="L123" s="33"/>
      <c r="M123" s="33"/>
      <c r="N123" s="33"/>
      <c r="O123" s="33"/>
      <c r="P123" s="33"/>
      <c r="R123" s="30"/>
      <c r="S123" s="30"/>
      <c r="T123" s="29"/>
      <c r="U123" s="29"/>
      <c r="V123" s="29"/>
      <c r="W123" s="29"/>
      <c r="X123" s="32"/>
      <c r="Y123" s="32"/>
    </row>
    <row r="124" spans="1:25" customFormat="1" x14ac:dyDescent="0.25">
      <c r="A124" s="29"/>
      <c r="C124" s="30"/>
      <c r="D124" s="31"/>
      <c r="E124" s="30"/>
      <c r="F124" s="30"/>
      <c r="G124" s="29"/>
      <c r="H124" s="29"/>
      <c r="I124" s="29"/>
      <c r="J124" s="29"/>
      <c r="K124" s="33"/>
      <c r="L124" s="33"/>
      <c r="M124" s="33"/>
      <c r="N124" s="33"/>
      <c r="O124" s="33"/>
      <c r="P124" s="33"/>
      <c r="R124" s="30"/>
      <c r="S124" s="30"/>
      <c r="T124" s="29"/>
      <c r="U124" s="29"/>
      <c r="V124" s="29"/>
      <c r="W124" s="29"/>
      <c r="X124" s="32"/>
      <c r="Y124" s="32"/>
    </row>
    <row r="125" spans="1:25" customFormat="1" x14ac:dyDescent="0.25">
      <c r="A125" s="29"/>
      <c r="C125" s="30"/>
      <c r="D125" s="31"/>
      <c r="E125" s="30"/>
      <c r="F125" s="30"/>
      <c r="G125" s="29"/>
      <c r="H125" s="29"/>
      <c r="I125" s="29"/>
      <c r="J125" s="29"/>
      <c r="K125" s="33"/>
      <c r="L125" s="33"/>
      <c r="M125" s="33"/>
      <c r="N125" s="33"/>
      <c r="O125" s="33"/>
      <c r="P125" s="33"/>
      <c r="R125" s="30"/>
      <c r="S125" s="30"/>
      <c r="T125" s="29"/>
      <c r="U125" s="29"/>
      <c r="V125" s="29"/>
      <c r="W125" s="29"/>
      <c r="X125" s="32"/>
      <c r="Y125" s="32"/>
    </row>
    <row r="126" spans="1:25" customFormat="1" x14ac:dyDescent="0.25">
      <c r="A126" s="29"/>
      <c r="C126" s="30"/>
      <c r="D126" s="31"/>
      <c r="E126" s="30"/>
      <c r="F126" s="30"/>
      <c r="G126" s="29"/>
      <c r="H126" s="29"/>
      <c r="I126" s="29"/>
      <c r="J126" s="29"/>
      <c r="K126" s="33"/>
      <c r="L126" s="33"/>
      <c r="M126" s="33"/>
      <c r="N126" s="33"/>
      <c r="O126" s="33"/>
      <c r="P126" s="33"/>
      <c r="R126" s="30"/>
      <c r="S126" s="30"/>
      <c r="T126" s="29"/>
      <c r="U126" s="29"/>
      <c r="V126" s="29"/>
      <c r="W126" s="29"/>
      <c r="X126" s="32"/>
      <c r="Y126" s="32"/>
    </row>
    <row r="127" spans="1:25" customFormat="1" x14ac:dyDescent="0.25">
      <c r="A127" s="29"/>
      <c r="C127" s="30"/>
      <c r="D127" s="31"/>
      <c r="E127" s="30"/>
      <c r="F127" s="30"/>
      <c r="G127" s="29"/>
      <c r="H127" s="29"/>
      <c r="I127" s="29"/>
      <c r="J127" s="29"/>
      <c r="K127" s="33"/>
      <c r="L127" s="33"/>
      <c r="M127" s="33"/>
      <c r="N127" s="33"/>
      <c r="O127" s="33"/>
      <c r="P127" s="33"/>
      <c r="R127" s="30"/>
      <c r="S127" s="30"/>
      <c r="T127" s="29"/>
      <c r="U127" s="29"/>
      <c r="V127" s="29"/>
      <c r="W127" s="29"/>
      <c r="X127" s="32"/>
      <c r="Y127" s="32"/>
    </row>
    <row r="128" spans="1:25" customFormat="1" x14ac:dyDescent="0.25">
      <c r="A128" s="29"/>
      <c r="C128" s="30"/>
      <c r="D128" s="31"/>
      <c r="E128" s="30"/>
      <c r="F128" s="30"/>
      <c r="G128" s="29"/>
      <c r="H128" s="29"/>
      <c r="I128" s="29"/>
      <c r="J128" s="29"/>
      <c r="K128" s="33"/>
      <c r="L128" s="33"/>
      <c r="M128" s="33"/>
      <c r="N128" s="33"/>
      <c r="O128" s="33"/>
      <c r="P128" s="33"/>
      <c r="R128" s="30"/>
      <c r="S128" s="30"/>
      <c r="T128" s="29"/>
      <c r="U128" s="29"/>
      <c r="V128" s="29"/>
      <c r="W128" s="29"/>
      <c r="X128" s="32"/>
      <c r="Y128" s="32"/>
    </row>
    <row r="129" spans="1:25" customFormat="1" x14ac:dyDescent="0.25">
      <c r="A129" s="29"/>
      <c r="C129" s="30"/>
      <c r="D129" s="31"/>
      <c r="E129" s="30"/>
      <c r="F129" s="30"/>
      <c r="G129" s="29"/>
      <c r="H129" s="29"/>
      <c r="I129" s="29"/>
      <c r="J129" s="29"/>
      <c r="K129" s="33"/>
      <c r="L129" s="33"/>
      <c r="M129" s="33"/>
      <c r="N129" s="33"/>
      <c r="O129" s="33"/>
      <c r="P129" s="33"/>
      <c r="R129" s="30"/>
      <c r="S129" s="30"/>
      <c r="T129" s="29"/>
      <c r="U129" s="29"/>
      <c r="V129" s="29"/>
      <c r="W129" s="29"/>
      <c r="X129" s="32"/>
      <c r="Y129" s="32"/>
    </row>
    <row r="130" spans="1:25" customFormat="1" x14ac:dyDescent="0.25">
      <c r="A130" s="29"/>
      <c r="C130" s="30"/>
      <c r="D130" s="31"/>
      <c r="E130" s="30"/>
      <c r="F130" s="30"/>
      <c r="G130" s="29"/>
      <c r="H130" s="29"/>
      <c r="I130" s="29"/>
      <c r="J130" s="29"/>
      <c r="K130" s="33"/>
      <c r="L130" s="33"/>
      <c r="M130" s="33"/>
      <c r="N130" s="33"/>
      <c r="O130" s="33"/>
      <c r="P130" s="33"/>
      <c r="R130" s="30"/>
      <c r="S130" s="30"/>
      <c r="T130" s="29"/>
      <c r="U130" s="29"/>
      <c r="V130" s="29"/>
      <c r="W130" s="29"/>
      <c r="X130" s="32"/>
      <c r="Y130" s="32"/>
    </row>
    <row r="131" spans="1:25" customFormat="1" x14ac:dyDescent="0.25">
      <c r="A131" s="29"/>
      <c r="C131" s="30"/>
      <c r="D131" s="31"/>
      <c r="E131" s="30"/>
      <c r="F131" s="30"/>
      <c r="G131" s="29"/>
      <c r="H131" s="29"/>
      <c r="I131" s="29"/>
      <c r="J131" s="29"/>
      <c r="K131" s="33"/>
      <c r="L131" s="33"/>
      <c r="M131" s="33"/>
      <c r="N131" s="33"/>
      <c r="O131" s="33"/>
      <c r="P131" s="33"/>
      <c r="R131" s="30"/>
      <c r="S131" s="30"/>
      <c r="T131" s="29"/>
      <c r="U131" s="29"/>
      <c r="V131" s="29"/>
      <c r="W131" s="29"/>
      <c r="X131" s="32"/>
      <c r="Y131" s="32"/>
    </row>
    <row r="132" spans="1:25" customFormat="1" x14ac:dyDescent="0.25">
      <c r="A132" s="29"/>
      <c r="C132" s="30"/>
      <c r="D132" s="31"/>
      <c r="E132" s="30"/>
      <c r="F132" s="30"/>
      <c r="G132" s="29"/>
      <c r="H132" s="29"/>
      <c r="I132" s="29"/>
      <c r="J132" s="29"/>
      <c r="K132" s="33"/>
      <c r="L132" s="33"/>
      <c r="M132" s="33"/>
      <c r="N132" s="33"/>
      <c r="O132" s="33"/>
      <c r="P132" s="33"/>
      <c r="R132" s="30"/>
      <c r="S132" s="30"/>
      <c r="T132" s="29"/>
      <c r="U132" s="29"/>
      <c r="V132" s="29"/>
      <c r="W132" s="29"/>
      <c r="X132" s="32"/>
      <c r="Y132" s="32"/>
    </row>
    <row r="133" spans="1:25" customFormat="1" x14ac:dyDescent="0.25">
      <c r="A133" s="29"/>
      <c r="C133" s="30"/>
      <c r="D133" s="31"/>
      <c r="E133" s="30"/>
      <c r="F133" s="30"/>
      <c r="G133" s="29"/>
      <c r="H133" s="29"/>
      <c r="I133" s="29"/>
      <c r="J133" s="29"/>
      <c r="K133" s="33"/>
      <c r="L133" s="33"/>
      <c r="M133" s="33"/>
      <c r="N133" s="33"/>
      <c r="O133" s="33"/>
      <c r="P133" s="33"/>
      <c r="R133" s="30"/>
      <c r="S133" s="30"/>
      <c r="T133" s="29"/>
      <c r="U133" s="29"/>
      <c r="V133" s="29"/>
      <c r="W133" s="29"/>
      <c r="X133" s="32"/>
      <c r="Y133" s="32"/>
    </row>
    <row r="134" spans="1:25" customFormat="1" x14ac:dyDescent="0.25">
      <c r="A134" s="29"/>
      <c r="C134" s="30"/>
      <c r="D134" s="31"/>
      <c r="E134" s="30"/>
      <c r="F134" s="30"/>
      <c r="G134" s="29"/>
      <c r="H134" s="29"/>
      <c r="I134" s="29"/>
      <c r="J134" s="29"/>
      <c r="K134" s="33"/>
      <c r="L134" s="33"/>
      <c r="M134" s="33"/>
      <c r="N134" s="33"/>
      <c r="O134" s="33"/>
      <c r="P134" s="33"/>
      <c r="R134" s="30"/>
      <c r="S134" s="30"/>
      <c r="T134" s="29"/>
      <c r="U134" s="29"/>
      <c r="V134" s="29"/>
      <c r="W134" s="29"/>
      <c r="X134" s="32"/>
      <c r="Y134" s="32"/>
    </row>
    <row r="135" spans="1:25" customFormat="1" x14ac:dyDescent="0.25">
      <c r="A135" s="29"/>
      <c r="C135" s="30"/>
      <c r="D135" s="31"/>
      <c r="E135" s="30"/>
      <c r="F135" s="30"/>
      <c r="G135" s="29"/>
      <c r="H135" s="29"/>
      <c r="I135" s="29"/>
      <c r="J135" s="29"/>
      <c r="K135" s="33"/>
      <c r="L135" s="33"/>
      <c r="M135" s="33"/>
      <c r="N135" s="33"/>
      <c r="O135" s="33"/>
      <c r="P135" s="33"/>
      <c r="R135" s="30"/>
      <c r="S135" s="30"/>
      <c r="T135" s="29"/>
      <c r="U135" s="29"/>
      <c r="V135" s="29"/>
      <c r="W135" s="29"/>
      <c r="X135" s="32"/>
      <c r="Y135" s="32"/>
    </row>
    <row r="136" spans="1:25" customFormat="1" x14ac:dyDescent="0.25">
      <c r="A136" s="29"/>
      <c r="C136" s="30"/>
      <c r="D136" s="31"/>
      <c r="E136" s="30"/>
      <c r="F136" s="30"/>
      <c r="G136" s="29"/>
      <c r="H136" s="29"/>
      <c r="I136" s="29"/>
      <c r="J136" s="29"/>
      <c r="K136" s="33"/>
      <c r="L136" s="33"/>
      <c r="M136" s="33"/>
      <c r="N136" s="33"/>
      <c r="O136" s="33"/>
      <c r="P136" s="33"/>
      <c r="R136" s="30"/>
      <c r="S136" s="30"/>
      <c r="T136" s="29"/>
      <c r="U136" s="29"/>
      <c r="V136" s="29"/>
      <c r="W136" s="29"/>
      <c r="X136" s="32"/>
      <c r="Y136" s="32"/>
    </row>
    <row r="137" spans="1:25" customFormat="1" x14ac:dyDescent="0.25">
      <c r="A137" s="29"/>
      <c r="C137" s="30"/>
      <c r="D137" s="31"/>
      <c r="E137" s="30"/>
      <c r="F137" s="30"/>
      <c r="G137" s="29"/>
      <c r="H137" s="29"/>
      <c r="I137" s="29"/>
      <c r="J137" s="29"/>
      <c r="K137" s="33"/>
      <c r="L137" s="33"/>
      <c r="M137" s="33"/>
      <c r="N137" s="33"/>
      <c r="O137" s="33"/>
      <c r="P137" s="33"/>
      <c r="R137" s="30"/>
      <c r="S137" s="30"/>
      <c r="T137" s="29"/>
      <c r="U137" s="29"/>
      <c r="V137" s="29"/>
      <c r="W137" s="29"/>
      <c r="X137" s="32"/>
      <c r="Y137" s="32"/>
    </row>
    <row r="138" spans="1:25" customFormat="1" x14ac:dyDescent="0.25">
      <c r="A138" s="29"/>
      <c r="C138" s="30"/>
      <c r="D138" s="31"/>
      <c r="E138" s="30"/>
      <c r="F138" s="30"/>
      <c r="G138" s="29"/>
      <c r="H138" s="29"/>
      <c r="I138" s="29"/>
      <c r="J138" s="29"/>
      <c r="K138" s="33"/>
      <c r="L138" s="33"/>
      <c r="M138" s="33"/>
      <c r="N138" s="33"/>
      <c r="O138" s="33"/>
      <c r="P138" s="33"/>
      <c r="R138" s="30"/>
      <c r="S138" s="30"/>
      <c r="T138" s="29"/>
      <c r="U138" s="29"/>
      <c r="V138" s="29"/>
      <c r="W138" s="29"/>
      <c r="X138" s="32"/>
      <c r="Y138" s="32"/>
    </row>
    <row r="139" spans="1:25" customFormat="1" x14ac:dyDescent="0.25">
      <c r="A139" s="29"/>
      <c r="C139" s="30"/>
      <c r="D139" s="31"/>
      <c r="E139" s="30"/>
      <c r="F139" s="30"/>
      <c r="G139" s="29"/>
      <c r="H139" s="29"/>
      <c r="I139" s="29"/>
      <c r="J139" s="29"/>
      <c r="K139" s="33"/>
      <c r="L139" s="33"/>
      <c r="M139" s="33"/>
      <c r="N139" s="33"/>
      <c r="O139" s="33"/>
      <c r="P139" s="33"/>
      <c r="R139" s="30"/>
      <c r="S139" s="30"/>
      <c r="T139" s="29"/>
      <c r="U139" s="29"/>
      <c r="V139" s="29"/>
      <c r="W139" s="29"/>
      <c r="X139" s="32"/>
      <c r="Y139" s="32"/>
    </row>
    <row r="140" spans="1:25" customFormat="1" x14ac:dyDescent="0.25">
      <c r="A140" s="29"/>
      <c r="C140" s="30"/>
      <c r="D140" s="31"/>
      <c r="E140" s="30"/>
      <c r="F140" s="30"/>
      <c r="G140" s="29"/>
      <c r="H140" s="29"/>
      <c r="I140" s="29"/>
      <c r="J140" s="29"/>
      <c r="K140" s="33"/>
      <c r="L140" s="33"/>
      <c r="M140" s="33"/>
      <c r="N140" s="33"/>
      <c r="O140" s="33"/>
      <c r="P140" s="33"/>
      <c r="R140" s="30"/>
      <c r="S140" s="30"/>
      <c r="T140" s="29"/>
      <c r="U140" s="29"/>
      <c r="V140" s="29"/>
      <c r="W140" s="29"/>
      <c r="X140" s="32"/>
      <c r="Y140" s="32"/>
    </row>
    <row r="141" spans="1:25" customFormat="1" x14ac:dyDescent="0.25">
      <c r="A141" s="29"/>
      <c r="C141" s="30"/>
      <c r="D141" s="31"/>
      <c r="E141" s="30"/>
      <c r="F141" s="30"/>
      <c r="G141" s="29"/>
      <c r="H141" s="29"/>
      <c r="I141" s="29"/>
      <c r="J141" s="29"/>
      <c r="K141" s="33"/>
      <c r="L141" s="33"/>
      <c r="M141" s="33"/>
      <c r="N141" s="33"/>
      <c r="O141" s="33"/>
      <c r="P141" s="33"/>
      <c r="R141" s="30"/>
      <c r="S141" s="30"/>
      <c r="T141" s="29"/>
      <c r="U141" s="29"/>
      <c r="V141" s="29"/>
      <c r="W141" s="29"/>
      <c r="X141" s="32"/>
      <c r="Y141" s="32"/>
    </row>
    <row r="142" spans="1:25" customFormat="1" x14ac:dyDescent="0.25">
      <c r="A142" s="29"/>
      <c r="C142" s="30"/>
      <c r="D142" s="31"/>
      <c r="E142" s="30"/>
      <c r="F142" s="30"/>
      <c r="G142" s="29"/>
      <c r="H142" s="29"/>
      <c r="I142" s="29"/>
      <c r="J142" s="29"/>
      <c r="K142" s="33"/>
      <c r="L142" s="33"/>
      <c r="M142" s="33"/>
      <c r="N142" s="33"/>
      <c r="O142" s="33"/>
      <c r="P142" s="33"/>
      <c r="R142" s="30"/>
      <c r="S142" s="30"/>
      <c r="T142" s="29"/>
      <c r="U142" s="29"/>
      <c r="V142" s="29"/>
      <c r="W142" s="29"/>
      <c r="X142" s="32"/>
      <c r="Y142" s="32"/>
    </row>
    <row r="143" spans="1:25" customFormat="1" x14ac:dyDescent="0.25">
      <c r="A143" s="29"/>
      <c r="C143" s="30"/>
      <c r="D143" s="31"/>
      <c r="E143" s="30"/>
      <c r="F143" s="30"/>
      <c r="G143" s="29"/>
      <c r="H143" s="29"/>
      <c r="I143" s="29"/>
      <c r="J143" s="29"/>
      <c r="K143" s="33"/>
      <c r="L143" s="33"/>
      <c r="M143" s="33"/>
      <c r="N143" s="33"/>
      <c r="O143" s="33"/>
      <c r="P143" s="33"/>
      <c r="R143" s="30"/>
      <c r="S143" s="30"/>
      <c r="T143" s="29"/>
      <c r="U143" s="29"/>
      <c r="V143" s="29"/>
      <c r="W143" s="29"/>
      <c r="X143" s="32"/>
      <c r="Y143" s="32"/>
    </row>
    <row r="144" spans="1:25" customFormat="1" x14ac:dyDescent="0.25">
      <c r="A144" s="29"/>
      <c r="C144" s="30"/>
      <c r="D144" s="31"/>
      <c r="E144" s="30"/>
      <c r="F144" s="30"/>
      <c r="G144" s="29"/>
      <c r="H144" s="29"/>
      <c r="I144" s="29"/>
      <c r="J144" s="29"/>
      <c r="K144" s="33"/>
      <c r="L144" s="33"/>
      <c r="M144" s="33"/>
      <c r="N144" s="33"/>
      <c r="O144" s="33"/>
      <c r="P144" s="33"/>
      <c r="R144" s="30"/>
      <c r="S144" s="30"/>
      <c r="T144" s="29"/>
      <c r="U144" s="29"/>
      <c r="V144" s="29"/>
      <c r="W144" s="29"/>
      <c r="X144" s="32"/>
      <c r="Y144" s="32"/>
    </row>
    <row r="145" spans="1:25" customFormat="1" x14ac:dyDescent="0.25">
      <c r="A145" s="29"/>
      <c r="C145" s="30"/>
      <c r="D145" s="31"/>
      <c r="E145" s="30"/>
      <c r="F145" s="30"/>
      <c r="G145" s="29"/>
      <c r="H145" s="29"/>
      <c r="I145" s="29"/>
      <c r="J145" s="29"/>
      <c r="K145" s="33"/>
      <c r="L145" s="33"/>
      <c r="M145" s="33"/>
      <c r="N145" s="33"/>
      <c r="O145" s="33"/>
      <c r="P145" s="33"/>
      <c r="R145" s="30"/>
      <c r="S145" s="30"/>
      <c r="T145" s="29"/>
      <c r="U145" s="29"/>
      <c r="V145" s="29"/>
      <c r="W145" s="29"/>
      <c r="X145" s="32"/>
      <c r="Y145" s="32"/>
    </row>
    <row r="146" spans="1:25" customFormat="1" x14ac:dyDescent="0.25">
      <c r="A146" s="29"/>
      <c r="C146" s="30"/>
      <c r="D146" s="31"/>
      <c r="E146" s="30"/>
      <c r="F146" s="30"/>
      <c r="G146" s="29"/>
      <c r="H146" s="29"/>
      <c r="I146" s="29"/>
      <c r="J146" s="29"/>
      <c r="K146" s="33"/>
      <c r="L146" s="33"/>
      <c r="M146" s="33"/>
      <c r="N146" s="33"/>
      <c r="O146" s="33"/>
      <c r="P146" s="33"/>
      <c r="R146" s="30"/>
      <c r="S146" s="30"/>
      <c r="T146" s="29"/>
      <c r="U146" s="29"/>
      <c r="V146" s="29"/>
      <c r="W146" s="29"/>
      <c r="X146" s="32"/>
      <c r="Y146" s="32"/>
    </row>
    <row r="147" spans="1:25" customFormat="1" x14ac:dyDescent="0.25">
      <c r="A147" s="29"/>
      <c r="C147" s="30"/>
      <c r="D147" s="31"/>
      <c r="E147" s="30"/>
      <c r="F147" s="30"/>
      <c r="G147" s="29"/>
      <c r="H147" s="29"/>
      <c r="I147" s="29"/>
      <c r="J147" s="29"/>
      <c r="K147" s="33"/>
      <c r="L147" s="33"/>
      <c r="M147" s="33"/>
      <c r="N147" s="33"/>
      <c r="O147" s="33"/>
      <c r="P147" s="33"/>
      <c r="R147" s="30"/>
      <c r="S147" s="30"/>
      <c r="T147" s="29"/>
      <c r="U147" s="29"/>
      <c r="V147" s="29"/>
      <c r="W147" s="29"/>
      <c r="X147" s="32"/>
      <c r="Y147" s="32"/>
    </row>
    <row r="148" spans="1:25" customFormat="1" x14ac:dyDescent="0.25">
      <c r="A148" s="29"/>
      <c r="C148" s="30"/>
      <c r="D148" s="31"/>
      <c r="E148" s="30"/>
      <c r="F148" s="30"/>
      <c r="G148" s="29"/>
      <c r="H148" s="29"/>
      <c r="I148" s="29"/>
      <c r="J148" s="29"/>
      <c r="K148" s="33"/>
      <c r="L148" s="33"/>
      <c r="M148" s="33"/>
      <c r="N148" s="33"/>
      <c r="O148" s="33"/>
      <c r="P148" s="33"/>
      <c r="R148" s="30"/>
      <c r="S148" s="30"/>
      <c r="T148" s="29"/>
      <c r="U148" s="29"/>
      <c r="V148" s="29"/>
      <c r="W148" s="29"/>
      <c r="X148" s="32"/>
      <c r="Y148" s="32"/>
    </row>
    <row r="149" spans="1:25" customFormat="1" x14ac:dyDescent="0.25">
      <c r="A149" s="29"/>
      <c r="C149" s="30"/>
      <c r="D149" s="31"/>
      <c r="E149" s="30"/>
      <c r="F149" s="30"/>
      <c r="G149" s="29"/>
      <c r="H149" s="29"/>
      <c r="I149" s="29"/>
      <c r="J149" s="29"/>
      <c r="K149" s="33"/>
      <c r="L149" s="33"/>
      <c r="M149" s="33"/>
      <c r="N149" s="33"/>
      <c r="O149" s="33"/>
      <c r="P149" s="33"/>
      <c r="R149" s="30"/>
      <c r="S149" s="30"/>
      <c r="T149" s="29"/>
      <c r="U149" s="29"/>
      <c r="V149" s="29"/>
      <c r="W149" s="29"/>
      <c r="X149" s="32"/>
      <c r="Y149" s="32"/>
    </row>
    <row r="150" spans="1:25" customFormat="1" x14ac:dyDescent="0.25">
      <c r="A150" s="29"/>
      <c r="C150" s="30"/>
      <c r="D150" s="31"/>
      <c r="E150" s="30"/>
      <c r="F150" s="30"/>
      <c r="G150" s="29"/>
      <c r="H150" s="29"/>
      <c r="I150" s="29"/>
      <c r="J150" s="29"/>
      <c r="K150" s="33"/>
      <c r="L150" s="33"/>
      <c r="M150" s="33"/>
      <c r="N150" s="33"/>
      <c r="O150" s="33"/>
      <c r="P150" s="33"/>
      <c r="R150" s="30"/>
      <c r="S150" s="30"/>
      <c r="T150" s="29"/>
      <c r="U150" s="29"/>
      <c r="V150" s="29"/>
      <c r="W150" s="29"/>
      <c r="X150" s="32"/>
      <c r="Y150" s="32"/>
    </row>
    <row r="151" spans="1:25" customFormat="1" x14ac:dyDescent="0.25">
      <c r="A151" s="29"/>
      <c r="C151" s="30"/>
      <c r="D151" s="31"/>
      <c r="E151" s="30"/>
      <c r="F151" s="30"/>
      <c r="G151" s="29"/>
      <c r="H151" s="29"/>
      <c r="I151" s="29"/>
      <c r="J151" s="29"/>
      <c r="K151" s="33"/>
      <c r="L151" s="33"/>
      <c r="M151" s="33"/>
      <c r="N151" s="33"/>
      <c r="O151" s="33"/>
      <c r="P151" s="33"/>
      <c r="R151" s="30"/>
      <c r="S151" s="30"/>
      <c r="T151" s="29"/>
      <c r="U151" s="29"/>
      <c r="V151" s="29"/>
      <c r="W151" s="29"/>
      <c r="X151" s="32"/>
      <c r="Y151" s="32"/>
    </row>
    <row r="152" spans="1:25" customFormat="1" x14ac:dyDescent="0.25">
      <c r="A152" s="29"/>
      <c r="C152" s="30"/>
      <c r="D152" s="31"/>
      <c r="E152" s="30"/>
      <c r="F152" s="30"/>
      <c r="G152" s="29"/>
      <c r="H152" s="29"/>
      <c r="I152" s="29"/>
      <c r="J152" s="29"/>
      <c r="K152" s="33"/>
      <c r="L152" s="33"/>
      <c r="M152" s="33"/>
      <c r="N152" s="33"/>
      <c r="O152" s="33"/>
      <c r="P152" s="33"/>
      <c r="R152" s="30"/>
      <c r="S152" s="30"/>
      <c r="T152" s="29"/>
      <c r="U152" s="29"/>
      <c r="V152" s="29"/>
      <c r="W152" s="29"/>
      <c r="X152" s="32"/>
      <c r="Y152" s="32"/>
    </row>
    <row r="153" spans="1:25" customFormat="1" x14ac:dyDescent="0.25">
      <c r="A153" s="29"/>
      <c r="C153" s="30"/>
      <c r="D153" s="31"/>
      <c r="E153" s="30"/>
      <c r="F153" s="30"/>
      <c r="G153" s="29"/>
      <c r="H153" s="29"/>
      <c r="I153" s="29"/>
      <c r="J153" s="29"/>
      <c r="K153" s="33"/>
      <c r="L153" s="33"/>
      <c r="M153" s="33"/>
      <c r="N153" s="33"/>
      <c r="O153" s="33"/>
      <c r="P153" s="33"/>
      <c r="R153" s="30"/>
      <c r="S153" s="30"/>
      <c r="T153" s="29"/>
      <c r="U153" s="29"/>
      <c r="V153" s="29"/>
      <c r="W153" s="29"/>
      <c r="X153" s="32"/>
      <c r="Y153" s="32"/>
    </row>
    <row r="154" spans="1:25" customFormat="1" x14ac:dyDescent="0.25">
      <c r="A154" s="29"/>
      <c r="C154" s="30"/>
      <c r="D154" s="31"/>
      <c r="E154" s="30"/>
      <c r="F154" s="30"/>
      <c r="G154" s="29"/>
      <c r="H154" s="29"/>
      <c r="I154" s="29"/>
      <c r="J154" s="29"/>
      <c r="K154" s="33"/>
      <c r="L154" s="33"/>
      <c r="M154" s="33"/>
      <c r="N154" s="33"/>
      <c r="O154" s="33"/>
      <c r="P154" s="33"/>
      <c r="R154" s="30"/>
      <c r="S154" s="30"/>
      <c r="T154" s="29"/>
      <c r="U154" s="29"/>
      <c r="V154" s="29"/>
      <c r="W154" s="29"/>
      <c r="X154" s="32"/>
      <c r="Y154" s="32"/>
    </row>
    <row r="155" spans="1:25" customFormat="1" x14ac:dyDescent="0.25">
      <c r="A155" s="29"/>
      <c r="C155" s="30"/>
      <c r="D155" s="31"/>
      <c r="E155" s="30"/>
      <c r="F155" s="30"/>
      <c r="G155" s="29"/>
      <c r="H155" s="29"/>
      <c r="I155" s="29"/>
      <c r="J155" s="29"/>
      <c r="K155" s="33"/>
      <c r="L155" s="33"/>
      <c r="M155" s="33"/>
      <c r="N155" s="33"/>
      <c r="O155" s="33"/>
      <c r="P155" s="33"/>
      <c r="R155" s="30"/>
      <c r="S155" s="30"/>
      <c r="T155" s="29"/>
      <c r="U155" s="29"/>
      <c r="V155" s="29"/>
      <c r="W155" s="29"/>
      <c r="X155" s="32"/>
      <c r="Y155" s="32"/>
    </row>
    <row r="156" spans="1:25" customFormat="1" x14ac:dyDescent="0.25">
      <c r="A156" s="29"/>
      <c r="C156" s="30"/>
      <c r="D156" s="31"/>
      <c r="E156" s="30"/>
      <c r="F156" s="30"/>
      <c r="G156" s="29"/>
      <c r="H156" s="29"/>
      <c r="I156" s="29"/>
      <c r="J156" s="29"/>
      <c r="K156" s="33"/>
      <c r="L156" s="33"/>
      <c r="M156" s="33"/>
      <c r="N156" s="33"/>
      <c r="O156" s="33"/>
      <c r="P156" s="33"/>
      <c r="R156" s="30"/>
      <c r="S156" s="30"/>
      <c r="T156" s="29"/>
      <c r="U156" s="29"/>
      <c r="V156" s="29"/>
      <c r="W156" s="29"/>
      <c r="X156" s="32"/>
      <c r="Y156" s="32"/>
    </row>
    <row r="157" spans="1:25" customFormat="1" x14ac:dyDescent="0.25">
      <c r="A157" s="29"/>
      <c r="C157" s="30"/>
      <c r="D157" s="31"/>
      <c r="E157" s="30"/>
      <c r="F157" s="30"/>
      <c r="G157" s="29"/>
      <c r="H157" s="29"/>
      <c r="I157" s="29"/>
      <c r="J157" s="29"/>
      <c r="K157" s="33"/>
      <c r="L157" s="33"/>
      <c r="M157" s="33"/>
      <c r="N157" s="33"/>
      <c r="O157" s="33"/>
      <c r="P157" s="33"/>
      <c r="R157" s="30"/>
      <c r="S157" s="30"/>
      <c r="T157" s="29"/>
      <c r="U157" s="29"/>
      <c r="V157" s="29"/>
      <c r="W157" s="29"/>
      <c r="X157" s="32"/>
      <c r="Y157" s="32"/>
    </row>
    <row r="158" spans="1:25" customFormat="1" x14ac:dyDescent="0.25">
      <c r="A158" s="29"/>
      <c r="C158" s="30"/>
      <c r="D158" s="31"/>
      <c r="E158" s="30"/>
      <c r="F158" s="30"/>
      <c r="G158" s="29"/>
      <c r="H158" s="29"/>
      <c r="I158" s="29"/>
      <c r="J158" s="29"/>
      <c r="K158" s="33"/>
      <c r="L158" s="33"/>
      <c r="M158" s="33"/>
      <c r="N158" s="33"/>
      <c r="O158" s="33"/>
      <c r="P158" s="33"/>
      <c r="R158" s="30"/>
      <c r="S158" s="30"/>
      <c r="T158" s="29"/>
      <c r="U158" s="29"/>
      <c r="V158" s="29"/>
      <c r="W158" s="29"/>
      <c r="X158" s="32"/>
      <c r="Y158" s="32"/>
    </row>
    <row r="159" spans="1:25" customFormat="1" x14ac:dyDescent="0.25">
      <c r="A159" s="29"/>
      <c r="C159" s="30"/>
      <c r="D159" s="31"/>
      <c r="E159" s="30"/>
      <c r="F159" s="30"/>
      <c r="G159" s="29"/>
      <c r="H159" s="29"/>
      <c r="I159" s="29"/>
      <c r="J159" s="29"/>
      <c r="K159" s="33"/>
      <c r="L159" s="33"/>
      <c r="M159" s="33"/>
      <c r="N159" s="33"/>
      <c r="O159" s="33"/>
      <c r="P159" s="33"/>
      <c r="R159" s="30"/>
      <c r="S159" s="30"/>
      <c r="T159" s="29"/>
      <c r="U159" s="29"/>
      <c r="V159" s="29"/>
      <c r="W159" s="29"/>
      <c r="X159" s="32"/>
      <c r="Y159" s="32"/>
    </row>
    <row r="160" spans="1:25" customFormat="1" x14ac:dyDescent="0.25">
      <c r="A160" s="29"/>
      <c r="C160" s="30"/>
      <c r="D160" s="31"/>
      <c r="E160" s="30"/>
      <c r="F160" s="30"/>
      <c r="G160" s="29"/>
      <c r="H160" s="29"/>
      <c r="I160" s="29"/>
      <c r="J160" s="29"/>
      <c r="K160" s="33"/>
      <c r="L160" s="33"/>
      <c r="M160" s="33"/>
      <c r="N160" s="33"/>
      <c r="O160" s="33"/>
      <c r="P160" s="33"/>
      <c r="R160" s="30"/>
      <c r="S160" s="30"/>
      <c r="T160" s="29"/>
      <c r="U160" s="29"/>
      <c r="V160" s="29"/>
      <c r="W160" s="29"/>
      <c r="X160" s="32"/>
      <c r="Y160" s="32"/>
    </row>
    <row r="161" spans="1:29" customFormat="1" x14ac:dyDescent="0.25">
      <c r="A161" s="29"/>
      <c r="C161" s="30"/>
      <c r="D161" s="31"/>
      <c r="E161" s="30"/>
      <c r="F161" s="30"/>
      <c r="G161" s="29"/>
      <c r="H161" s="29"/>
      <c r="I161" s="29"/>
      <c r="J161" s="29"/>
      <c r="K161" s="33"/>
      <c r="L161" s="33"/>
      <c r="M161" s="33"/>
      <c r="N161" s="33"/>
      <c r="O161" s="33"/>
      <c r="P161" s="33"/>
      <c r="R161" s="30"/>
      <c r="S161" s="30"/>
      <c r="T161" s="29"/>
      <c r="U161" s="29"/>
      <c r="V161" s="29"/>
      <c r="W161" s="29"/>
      <c r="X161" s="32"/>
      <c r="Y161" s="32"/>
    </row>
    <row r="162" spans="1:29" customFormat="1" x14ac:dyDescent="0.25">
      <c r="A162" s="29"/>
      <c r="C162" s="30"/>
      <c r="D162" s="31"/>
      <c r="E162" s="30"/>
      <c r="F162" s="30"/>
      <c r="G162" s="29"/>
      <c r="H162" s="29"/>
      <c r="I162" s="29"/>
      <c r="J162" s="29"/>
      <c r="K162" s="33"/>
      <c r="L162" s="33"/>
      <c r="M162" s="33"/>
      <c r="N162" s="33"/>
      <c r="O162" s="33"/>
      <c r="P162" s="33"/>
      <c r="R162" s="30"/>
      <c r="S162" s="30"/>
      <c r="T162" s="29"/>
      <c r="U162" s="29"/>
      <c r="V162" s="29"/>
      <c r="W162" s="29"/>
      <c r="X162" s="32"/>
      <c r="Y162" s="32"/>
    </row>
    <row r="163" spans="1:29" customFormat="1" x14ac:dyDescent="0.25">
      <c r="A163" s="29"/>
      <c r="C163" s="30"/>
      <c r="D163" s="31"/>
      <c r="E163" s="30"/>
      <c r="F163" s="30"/>
      <c r="G163" s="29"/>
      <c r="H163" s="29"/>
      <c r="I163" s="29"/>
      <c r="J163" s="29"/>
      <c r="K163" s="33"/>
      <c r="L163" s="33"/>
      <c r="M163" s="33"/>
      <c r="N163" s="33"/>
      <c r="O163" s="33"/>
      <c r="P163" s="33"/>
      <c r="R163" s="30"/>
      <c r="S163" s="30"/>
      <c r="T163" s="29"/>
      <c r="U163" s="29"/>
      <c r="V163" s="29"/>
      <c r="W163" s="29"/>
      <c r="X163" s="32"/>
      <c r="Y163" s="32"/>
    </row>
    <row r="164" spans="1:29" customFormat="1" x14ac:dyDescent="0.25">
      <c r="A164" s="29"/>
      <c r="C164" s="30"/>
      <c r="D164" s="31"/>
      <c r="E164" s="30"/>
      <c r="F164" s="30"/>
      <c r="G164" s="29"/>
      <c r="H164" s="29"/>
      <c r="I164" s="29"/>
      <c r="J164" s="29"/>
      <c r="K164" s="33"/>
      <c r="L164" s="33"/>
      <c r="M164" s="33"/>
      <c r="N164" s="33"/>
      <c r="O164" s="33"/>
      <c r="P164" s="33"/>
      <c r="R164" s="30"/>
      <c r="S164" s="30"/>
      <c r="T164" s="29"/>
      <c r="U164" s="29"/>
      <c r="V164" s="29"/>
      <c r="W164" s="29"/>
      <c r="X164" s="32"/>
      <c r="Y164" s="32"/>
    </row>
    <row r="165" spans="1:29" customFormat="1" x14ac:dyDescent="0.25">
      <c r="A165" s="29"/>
      <c r="C165" s="30"/>
      <c r="D165" s="31"/>
      <c r="E165" s="30"/>
      <c r="F165" s="30"/>
      <c r="G165" s="29"/>
      <c r="H165" s="29"/>
      <c r="I165" s="29"/>
      <c r="J165" s="29"/>
      <c r="K165" s="33"/>
      <c r="L165" s="33"/>
      <c r="M165" s="33"/>
      <c r="N165" s="33"/>
      <c r="O165" s="33"/>
      <c r="P165" s="33"/>
      <c r="R165" s="30"/>
      <c r="S165" s="30"/>
      <c r="T165" s="29"/>
      <c r="U165" s="29"/>
      <c r="V165" s="29"/>
      <c r="W165" s="29"/>
      <c r="X165" s="32"/>
      <c r="Y165" s="32"/>
    </row>
    <row r="166" spans="1:29" customFormat="1" x14ac:dyDescent="0.25">
      <c r="A166" s="29"/>
      <c r="C166" s="30"/>
      <c r="D166" s="31"/>
      <c r="E166" s="30"/>
      <c r="F166" s="30"/>
      <c r="G166" s="29"/>
      <c r="H166" s="29"/>
      <c r="I166" s="29"/>
      <c r="J166" s="29"/>
      <c r="K166" s="33"/>
      <c r="L166" s="33"/>
      <c r="M166" s="33"/>
      <c r="N166" s="33"/>
      <c r="O166" s="33"/>
      <c r="P166" s="33"/>
      <c r="R166" s="30"/>
      <c r="S166" s="30"/>
      <c r="T166" s="29"/>
      <c r="U166" s="29"/>
      <c r="V166" s="29"/>
      <c r="W166" s="29"/>
      <c r="X166" s="32"/>
      <c r="Y166" s="32"/>
    </row>
    <row r="167" spans="1:29" s="102" customFormat="1" x14ac:dyDescent="0.25">
      <c r="A167" s="29"/>
      <c r="B167"/>
      <c r="C167" s="30"/>
      <c r="D167" s="31"/>
      <c r="E167" s="30"/>
      <c r="F167" s="30"/>
      <c r="G167" s="29"/>
      <c r="H167" s="29"/>
      <c r="I167" s="29"/>
      <c r="J167" s="29"/>
      <c r="K167" s="33"/>
      <c r="L167" s="33"/>
      <c r="M167" s="33"/>
      <c r="N167" s="33"/>
      <c r="O167" s="33"/>
      <c r="P167" s="33"/>
      <c r="Q167"/>
      <c r="R167" s="30"/>
      <c r="S167" s="30"/>
      <c r="T167" s="29"/>
      <c r="U167" s="29"/>
      <c r="V167" s="29"/>
      <c r="W167" s="29"/>
      <c r="X167" s="32"/>
      <c r="Y167" s="32"/>
      <c r="Z167"/>
      <c r="AA167"/>
      <c r="AB167"/>
      <c r="AC167"/>
    </row>
    <row r="168" spans="1:29" s="102" customFormat="1" x14ac:dyDescent="0.25">
      <c r="A168" s="29"/>
      <c r="B168"/>
      <c r="C168" s="30"/>
      <c r="D168" s="31"/>
      <c r="E168" s="30"/>
      <c r="F168" s="30"/>
      <c r="G168" s="29"/>
      <c r="H168" s="29"/>
      <c r="I168" s="29"/>
      <c r="J168" s="29"/>
      <c r="K168" s="33"/>
      <c r="L168" s="33"/>
      <c r="M168" s="33"/>
      <c r="N168" s="33"/>
      <c r="O168" s="33"/>
      <c r="P168" s="33"/>
      <c r="Q168"/>
      <c r="R168" s="30"/>
      <c r="S168" s="30"/>
      <c r="T168" s="29"/>
      <c r="U168" s="29"/>
      <c r="V168" s="29"/>
      <c r="W168" s="29"/>
      <c r="X168" s="32"/>
      <c r="Y168" s="32"/>
      <c r="Z168"/>
      <c r="AA168"/>
      <c r="AB168"/>
      <c r="AC168"/>
    </row>
    <row r="169" spans="1:29" s="102" customFormat="1" x14ac:dyDescent="0.25">
      <c r="A169" s="29"/>
      <c r="B169"/>
      <c r="C169" s="30"/>
      <c r="D169" s="31"/>
      <c r="E169" s="30"/>
      <c r="F169" s="30"/>
      <c r="G169" s="29"/>
      <c r="H169" s="29"/>
      <c r="I169" s="29"/>
      <c r="J169" s="29"/>
      <c r="K169" s="33"/>
      <c r="L169" s="33"/>
      <c r="M169" s="33"/>
      <c r="N169" s="33"/>
      <c r="O169" s="33"/>
      <c r="P169" s="33"/>
      <c r="Q169"/>
      <c r="R169" s="30"/>
      <c r="S169" s="30"/>
      <c r="T169" s="29"/>
      <c r="U169" s="29"/>
      <c r="V169" s="29"/>
      <c r="W169" s="29"/>
      <c r="X169" s="32"/>
      <c r="Y169" s="32"/>
    </row>
    <row r="170" spans="1:29" s="102" customFormat="1" x14ac:dyDescent="0.25">
      <c r="A170" s="29"/>
      <c r="B170"/>
      <c r="C170" s="30"/>
      <c r="D170" s="31"/>
      <c r="E170" s="30"/>
      <c r="F170" s="30"/>
      <c r="G170" s="29"/>
      <c r="H170" s="29"/>
      <c r="I170" s="29"/>
      <c r="J170" s="29"/>
      <c r="K170" s="33"/>
      <c r="L170" s="33"/>
      <c r="M170" s="33"/>
      <c r="N170" s="33"/>
      <c r="O170" s="33"/>
      <c r="P170" s="33"/>
      <c r="Q170"/>
      <c r="R170" s="30"/>
      <c r="S170" s="30"/>
      <c r="T170" s="29"/>
      <c r="U170" s="29"/>
      <c r="V170" s="29"/>
      <c r="W170" s="29"/>
      <c r="X170" s="32"/>
      <c r="Y170" s="32"/>
    </row>
    <row r="171" spans="1:29" s="102" customFormat="1" x14ac:dyDescent="0.25">
      <c r="A171" s="29"/>
      <c r="B171"/>
      <c r="C171" s="30"/>
      <c r="D171" s="31"/>
      <c r="E171" s="30"/>
      <c r="F171" s="30"/>
      <c r="G171" s="29"/>
      <c r="H171" s="29"/>
      <c r="I171" s="29"/>
      <c r="J171" s="29"/>
      <c r="K171" s="33"/>
      <c r="L171" s="33"/>
      <c r="M171" s="33"/>
      <c r="N171" s="33"/>
      <c r="O171" s="33"/>
      <c r="P171" s="33"/>
      <c r="Q171"/>
      <c r="R171" s="30"/>
      <c r="S171" s="30"/>
      <c r="T171" s="29"/>
      <c r="U171" s="29"/>
      <c r="V171" s="29"/>
      <c r="W171" s="29"/>
      <c r="X171" s="32"/>
      <c r="Y171" s="32"/>
    </row>
    <row r="172" spans="1:29" s="102" customFormat="1" x14ac:dyDescent="0.25">
      <c r="A172" s="29"/>
      <c r="B172"/>
      <c r="C172" s="30"/>
      <c r="D172" s="31"/>
      <c r="E172" s="30"/>
      <c r="F172" s="30"/>
      <c r="G172" s="29"/>
      <c r="H172" s="29"/>
      <c r="I172" s="29"/>
      <c r="J172" s="29"/>
      <c r="K172" s="33"/>
      <c r="L172" s="33"/>
      <c r="M172" s="33"/>
      <c r="N172" s="33"/>
      <c r="O172" s="33"/>
      <c r="P172" s="33"/>
      <c r="Q172"/>
      <c r="R172" s="30"/>
      <c r="S172" s="30"/>
      <c r="T172" s="29"/>
      <c r="U172" s="29"/>
      <c r="V172" s="29"/>
      <c r="W172" s="29"/>
      <c r="X172" s="32"/>
      <c r="Y172" s="32"/>
    </row>
    <row r="173" spans="1:29" s="102" customFormat="1" x14ac:dyDescent="0.25">
      <c r="A173" s="29"/>
      <c r="B173"/>
      <c r="C173" s="30"/>
      <c r="D173" s="31"/>
      <c r="E173" s="30"/>
      <c r="F173" s="30"/>
      <c r="G173" s="29"/>
      <c r="H173" s="29"/>
      <c r="I173" s="29"/>
      <c r="J173" s="29"/>
      <c r="K173" s="33"/>
      <c r="L173" s="33"/>
      <c r="M173" s="33"/>
      <c r="N173" s="33"/>
      <c r="O173" s="33"/>
      <c r="P173" s="33"/>
      <c r="Q173"/>
      <c r="R173" s="30"/>
      <c r="S173" s="30"/>
      <c r="T173" s="29"/>
      <c r="U173" s="29"/>
      <c r="V173" s="29"/>
      <c r="W173" s="29"/>
      <c r="X173" s="32"/>
      <c r="Y173" s="32"/>
    </row>
    <row r="174" spans="1:29" s="102" customFormat="1" x14ac:dyDescent="0.25">
      <c r="A174" s="29"/>
      <c r="B174"/>
      <c r="C174" s="30"/>
      <c r="D174" s="31"/>
      <c r="E174" s="30"/>
      <c r="F174" s="30"/>
      <c r="G174" s="29"/>
      <c r="H174" s="29"/>
      <c r="I174" s="29"/>
      <c r="J174" s="29"/>
      <c r="K174" s="33"/>
      <c r="L174" s="33"/>
      <c r="M174" s="33"/>
      <c r="N174" s="33"/>
      <c r="O174" s="33"/>
      <c r="P174" s="33"/>
      <c r="Q174"/>
      <c r="R174" s="30"/>
      <c r="S174" s="30"/>
      <c r="T174" s="29"/>
      <c r="U174" s="29"/>
      <c r="V174" s="29"/>
      <c r="W174" s="29"/>
      <c r="X174" s="32"/>
      <c r="Y174" s="32"/>
    </row>
    <row r="175" spans="1:29" s="102" customFormat="1" x14ac:dyDescent="0.25">
      <c r="A175" s="29"/>
      <c r="B175"/>
      <c r="C175" s="30"/>
      <c r="D175" s="31"/>
      <c r="E175" s="30"/>
      <c r="F175" s="30"/>
      <c r="G175" s="29"/>
      <c r="H175" s="29"/>
      <c r="I175" s="29"/>
      <c r="J175" s="29"/>
      <c r="K175" s="33"/>
      <c r="L175" s="33"/>
      <c r="M175" s="33"/>
      <c r="N175" s="33"/>
      <c r="O175" s="33"/>
      <c r="P175" s="33"/>
      <c r="Q175"/>
      <c r="R175" s="30"/>
      <c r="S175" s="30"/>
      <c r="T175" s="29"/>
      <c r="U175" s="29"/>
      <c r="V175" s="29"/>
      <c r="W175" s="29"/>
      <c r="X175" s="32"/>
      <c r="Y175" s="32"/>
    </row>
    <row r="176" spans="1:29" s="102" customFormat="1" x14ac:dyDescent="0.25">
      <c r="A176" s="29"/>
      <c r="B176"/>
      <c r="C176" s="30"/>
      <c r="D176" s="31"/>
      <c r="E176" s="30"/>
      <c r="F176" s="30"/>
      <c r="G176" s="29"/>
      <c r="H176" s="29"/>
      <c r="I176" s="29"/>
      <c r="J176" s="29"/>
      <c r="K176" s="33"/>
      <c r="L176" s="33"/>
      <c r="M176" s="33"/>
      <c r="N176" s="33"/>
      <c r="O176" s="33"/>
      <c r="P176" s="33"/>
      <c r="Q176"/>
      <c r="R176" s="30"/>
      <c r="S176" s="30"/>
      <c r="T176" s="29"/>
      <c r="U176" s="29"/>
      <c r="V176" s="29"/>
      <c r="W176" s="29"/>
      <c r="X176" s="32"/>
      <c r="Y176" s="32"/>
    </row>
    <row r="177" spans="1:29" s="102" customFormat="1" x14ac:dyDescent="0.25">
      <c r="A177" s="29"/>
      <c r="B177"/>
      <c r="C177" s="30"/>
      <c r="D177" s="31"/>
      <c r="E177" s="30"/>
      <c r="F177" s="30"/>
      <c r="G177" s="29"/>
      <c r="H177" s="29"/>
      <c r="I177" s="29"/>
      <c r="J177" s="29"/>
      <c r="K177" s="33"/>
      <c r="L177" s="33"/>
      <c r="M177" s="33"/>
      <c r="N177" s="33"/>
      <c r="O177" s="33"/>
      <c r="P177" s="33"/>
      <c r="Q177"/>
      <c r="R177" s="30"/>
      <c r="S177" s="30"/>
      <c r="T177" s="29"/>
      <c r="U177" s="29"/>
      <c r="V177" s="29"/>
      <c r="W177" s="29"/>
      <c r="X177" s="32"/>
      <c r="Y177" s="32"/>
    </row>
    <row r="178" spans="1:29" s="102" customFormat="1" x14ac:dyDescent="0.25">
      <c r="A178" s="29"/>
      <c r="B178"/>
      <c r="C178" s="30"/>
      <c r="D178" s="31"/>
      <c r="E178" s="30"/>
      <c r="F178" s="30"/>
      <c r="G178" s="29"/>
      <c r="H178" s="29"/>
      <c r="I178" s="29"/>
      <c r="J178" s="29"/>
      <c r="K178" s="33"/>
      <c r="L178" s="33"/>
      <c r="M178" s="33"/>
      <c r="N178" s="33"/>
      <c r="O178" s="33"/>
      <c r="P178" s="33"/>
      <c r="Q178"/>
      <c r="R178" s="30"/>
      <c r="S178" s="30"/>
      <c r="T178" s="29"/>
      <c r="U178" s="29"/>
      <c r="V178" s="29"/>
      <c r="W178" s="29"/>
      <c r="X178" s="32"/>
      <c r="Y178" s="32"/>
    </row>
    <row r="179" spans="1:29" s="102" customFormat="1" x14ac:dyDescent="0.25">
      <c r="A179" s="29"/>
      <c r="B179"/>
      <c r="C179" s="30"/>
      <c r="D179" s="31"/>
      <c r="E179" s="30"/>
      <c r="F179" s="30"/>
      <c r="G179" s="29"/>
      <c r="H179" s="29"/>
      <c r="I179" s="29"/>
      <c r="J179" s="29"/>
      <c r="K179" s="33"/>
      <c r="L179" s="33"/>
      <c r="M179" s="33"/>
      <c r="N179" s="33"/>
      <c r="O179" s="33"/>
      <c r="P179" s="33"/>
      <c r="Q179"/>
      <c r="R179" s="30"/>
      <c r="S179" s="30"/>
      <c r="T179" s="29"/>
      <c r="U179" s="29"/>
      <c r="V179" s="29"/>
      <c r="W179" s="29"/>
      <c r="X179" s="32"/>
      <c r="Y179" s="32"/>
    </row>
    <row r="180" spans="1:29" x14ac:dyDescent="0.25">
      <c r="B180"/>
      <c r="Z180" s="102"/>
      <c r="AA180" s="102"/>
      <c r="AB180" s="102"/>
      <c r="AC180" s="102"/>
    </row>
    <row r="181" spans="1:29" s="102" customFormat="1" x14ac:dyDescent="0.25">
      <c r="A181" s="29"/>
      <c r="B181"/>
      <c r="C181" s="30"/>
      <c r="D181" s="31"/>
      <c r="E181" s="30"/>
      <c r="F181" s="30"/>
      <c r="G181" s="29"/>
      <c r="H181" s="29"/>
      <c r="I181" s="29"/>
      <c r="J181" s="29"/>
      <c r="K181" s="33"/>
      <c r="L181" s="33"/>
      <c r="M181" s="33"/>
      <c r="N181" s="33"/>
      <c r="O181" s="33"/>
      <c r="P181" s="33"/>
      <c r="Q181"/>
      <c r="R181" s="30"/>
      <c r="S181" s="30"/>
      <c r="T181" s="29"/>
      <c r="U181" s="29"/>
      <c r="V181" s="29"/>
      <c r="W181" s="29"/>
      <c r="X181" s="32"/>
      <c r="Y181" s="32"/>
    </row>
    <row r="182" spans="1:29" x14ac:dyDescent="0.25">
      <c r="B182"/>
    </row>
    <row r="183" spans="1:29" x14ac:dyDescent="0.25">
      <c r="B183"/>
      <c r="Z183" s="102"/>
      <c r="AA183" s="102"/>
      <c r="AB183" s="102"/>
      <c r="AC183" s="102"/>
    </row>
    <row r="184" spans="1:29" s="102" customFormat="1" x14ac:dyDescent="0.25">
      <c r="A184" s="29"/>
      <c r="B184"/>
      <c r="C184" s="30"/>
      <c r="D184" s="31"/>
      <c r="E184" s="30"/>
      <c r="F184" s="30"/>
      <c r="G184" s="29"/>
      <c r="H184" s="29"/>
      <c r="I184" s="29"/>
      <c r="J184" s="29"/>
      <c r="K184" s="33"/>
      <c r="L184" s="33"/>
      <c r="M184" s="33"/>
      <c r="N184" s="33"/>
      <c r="O184" s="33"/>
      <c r="P184" s="33"/>
      <c r="Q184"/>
      <c r="R184" s="30"/>
      <c r="S184" s="30"/>
      <c r="T184" s="29"/>
      <c r="U184" s="29"/>
      <c r="V184" s="29"/>
      <c r="W184" s="29"/>
      <c r="X184" s="32"/>
      <c r="Y184" s="32"/>
      <c r="Z184" s="33"/>
      <c r="AA184" s="33"/>
      <c r="AB184" s="33"/>
      <c r="AC184" s="33"/>
    </row>
    <row r="185" spans="1:29" s="102" customFormat="1" x14ac:dyDescent="0.25">
      <c r="A185" s="29"/>
      <c r="B185"/>
      <c r="C185" s="30"/>
      <c r="D185" s="31"/>
      <c r="E185" s="30"/>
      <c r="F185" s="30"/>
      <c r="G185" s="29"/>
      <c r="H185" s="29"/>
      <c r="I185" s="29"/>
      <c r="J185" s="29"/>
      <c r="K185" s="33"/>
      <c r="L185" s="33"/>
      <c r="M185" s="33"/>
      <c r="N185" s="33"/>
      <c r="O185" s="33"/>
      <c r="P185" s="33"/>
      <c r="Q185"/>
      <c r="R185" s="30"/>
      <c r="S185" s="30"/>
      <c r="T185" s="29"/>
      <c r="U185" s="29"/>
      <c r="V185" s="29"/>
      <c r="W185" s="29"/>
      <c r="X185" s="32"/>
      <c r="Y185" s="32"/>
      <c r="Z185" s="33"/>
      <c r="AA185" s="33"/>
      <c r="AB185" s="33"/>
      <c r="AC185" s="33"/>
    </row>
    <row r="186" spans="1:29" s="102" customFormat="1" x14ac:dyDescent="0.25">
      <c r="A186" s="29"/>
      <c r="B186"/>
      <c r="C186" s="30"/>
      <c r="D186" s="31"/>
      <c r="E186" s="30"/>
      <c r="F186" s="30"/>
      <c r="G186" s="29"/>
      <c r="H186" s="29"/>
      <c r="I186" s="29"/>
      <c r="J186" s="29"/>
      <c r="K186" s="33"/>
      <c r="L186" s="33"/>
      <c r="M186" s="33"/>
      <c r="N186" s="33"/>
      <c r="O186" s="33"/>
      <c r="P186" s="33"/>
      <c r="Q186"/>
      <c r="R186" s="30"/>
      <c r="S186" s="30"/>
      <c r="T186" s="29"/>
      <c r="U186" s="29"/>
      <c r="V186" s="29"/>
      <c r="W186" s="29"/>
      <c r="X186" s="32"/>
      <c r="Y186" s="32"/>
    </row>
    <row r="187" spans="1:29" s="102" customFormat="1" x14ac:dyDescent="0.25">
      <c r="A187" s="29"/>
      <c r="B187"/>
      <c r="C187" s="30"/>
      <c r="D187" s="31"/>
      <c r="E187" s="30"/>
      <c r="F187" s="30"/>
      <c r="G187" s="29"/>
      <c r="H187" s="29"/>
      <c r="I187" s="29"/>
      <c r="J187" s="29"/>
      <c r="K187" s="33"/>
      <c r="L187" s="33"/>
      <c r="M187" s="33"/>
      <c r="N187" s="33"/>
      <c r="O187" s="33"/>
      <c r="P187" s="33"/>
      <c r="Q187"/>
      <c r="R187" s="30"/>
      <c r="S187" s="30"/>
      <c r="T187" s="29"/>
      <c r="U187" s="29"/>
      <c r="V187" s="29"/>
      <c r="W187" s="29"/>
      <c r="X187" s="32"/>
      <c r="Y187" s="32"/>
    </row>
    <row r="188" spans="1:29" s="105" customFormat="1" x14ac:dyDescent="0.25">
      <c r="A188" s="103"/>
      <c r="B188"/>
      <c r="C188" s="104"/>
      <c r="D188" s="104"/>
      <c r="E188" s="104"/>
      <c r="F188" s="104"/>
      <c r="G188" s="103"/>
      <c r="H188" s="103"/>
      <c r="I188" s="103"/>
      <c r="J188" s="103"/>
      <c r="K188" s="33"/>
      <c r="L188" s="33"/>
      <c r="M188" s="33"/>
      <c r="N188" s="33"/>
      <c r="O188" s="33"/>
      <c r="P188" s="33"/>
      <c r="Q188"/>
      <c r="R188" s="104"/>
      <c r="S188" s="104"/>
      <c r="T188" s="103"/>
      <c r="U188" s="103"/>
      <c r="V188" s="103"/>
      <c r="W188" s="103"/>
      <c r="X188" s="32"/>
      <c r="Y188" s="32"/>
      <c r="Z188" s="102"/>
      <c r="AA188" s="102"/>
      <c r="AB188" s="102"/>
      <c r="AC188" s="102"/>
    </row>
    <row r="189" spans="1:29" s="102" customFormat="1" x14ac:dyDescent="0.25">
      <c r="A189" s="29"/>
      <c r="B189"/>
      <c r="C189" s="30"/>
      <c r="D189" s="31"/>
      <c r="E189" s="30"/>
      <c r="F189" s="30"/>
      <c r="G189" s="29"/>
      <c r="H189" s="29"/>
      <c r="I189" s="29"/>
      <c r="J189" s="29"/>
      <c r="K189" s="33"/>
      <c r="L189" s="33"/>
      <c r="M189" s="33"/>
      <c r="N189" s="33"/>
      <c r="O189" s="33"/>
      <c r="P189" s="33"/>
      <c r="Q189"/>
      <c r="R189" s="30"/>
      <c r="S189" s="30"/>
      <c r="T189" s="29"/>
      <c r="U189" s="29"/>
      <c r="V189" s="29"/>
      <c r="W189" s="29"/>
      <c r="X189" s="32"/>
      <c r="Y189" s="32"/>
    </row>
    <row r="190" spans="1:29" s="102" customFormat="1" x14ac:dyDescent="0.25">
      <c r="A190" s="29"/>
      <c r="B190"/>
      <c r="C190" s="30"/>
      <c r="D190" s="31"/>
      <c r="E190" s="30"/>
      <c r="F190" s="30"/>
      <c r="G190" s="29"/>
      <c r="H190" s="29"/>
      <c r="I190" s="29"/>
      <c r="J190" s="29"/>
      <c r="K190" s="33"/>
      <c r="L190" s="33"/>
      <c r="M190" s="33"/>
      <c r="N190" s="33"/>
      <c r="O190" s="33"/>
      <c r="P190" s="33"/>
      <c r="Q190"/>
      <c r="R190" s="30"/>
      <c r="S190" s="30"/>
      <c r="T190" s="29"/>
      <c r="U190" s="29"/>
      <c r="V190" s="29"/>
      <c r="W190" s="29"/>
      <c r="X190" s="32"/>
      <c r="Y190" s="32"/>
      <c r="Z190" s="105"/>
      <c r="AA190" s="105"/>
      <c r="AB190" s="105"/>
      <c r="AC190" s="105"/>
    </row>
    <row r="191" spans="1:29" x14ac:dyDescent="0.25">
      <c r="B191"/>
      <c r="Z191" s="102"/>
      <c r="AA191" s="102"/>
      <c r="AB191" s="102"/>
      <c r="AC191" s="102"/>
    </row>
    <row r="192" spans="1:29" s="102" customFormat="1" x14ac:dyDescent="0.25">
      <c r="A192" s="29"/>
      <c r="B192"/>
      <c r="C192" s="30"/>
      <c r="D192" s="31"/>
      <c r="E192" s="30"/>
      <c r="F192" s="30"/>
      <c r="G192" s="29"/>
      <c r="H192" s="29"/>
      <c r="I192" s="29"/>
      <c r="J192" s="29"/>
      <c r="K192" s="33"/>
      <c r="L192" s="33"/>
      <c r="M192" s="33"/>
      <c r="N192" s="33"/>
      <c r="O192" s="33"/>
      <c r="P192" s="33"/>
      <c r="Q192"/>
      <c r="R192" s="30"/>
      <c r="S192" s="30"/>
      <c r="T192" s="29"/>
      <c r="U192" s="29"/>
      <c r="V192" s="29"/>
      <c r="W192" s="29"/>
      <c r="X192" s="32"/>
      <c r="Y192" s="32"/>
    </row>
    <row r="193" spans="1:29" s="102" customFormat="1" x14ac:dyDescent="0.25">
      <c r="A193" s="29"/>
      <c r="B193"/>
      <c r="C193" s="30"/>
      <c r="D193" s="31"/>
      <c r="E193" s="30"/>
      <c r="F193" s="30"/>
      <c r="G193" s="29"/>
      <c r="H193" s="29"/>
      <c r="I193" s="29"/>
      <c r="J193" s="29"/>
      <c r="K193" s="33"/>
      <c r="L193" s="33"/>
      <c r="M193" s="33"/>
      <c r="N193" s="33"/>
      <c r="O193" s="33"/>
      <c r="P193" s="33"/>
      <c r="Q193"/>
      <c r="R193" s="30"/>
      <c r="S193" s="30"/>
      <c r="T193" s="29"/>
      <c r="U193" s="29"/>
      <c r="V193" s="29"/>
      <c r="W193" s="29"/>
      <c r="X193" s="32"/>
      <c r="Y193" s="32"/>
      <c r="Z193" s="33"/>
      <c r="AA193" s="33"/>
      <c r="AB193" s="33"/>
      <c r="AC193" s="33"/>
    </row>
    <row r="194" spans="1:29" s="102" customFormat="1" x14ac:dyDescent="0.25">
      <c r="A194" s="29"/>
      <c r="B194"/>
      <c r="C194" s="30"/>
      <c r="D194" s="31"/>
      <c r="E194" s="30"/>
      <c r="F194" s="30"/>
      <c r="G194" s="29"/>
      <c r="H194" s="29"/>
      <c r="I194" s="29"/>
      <c r="J194" s="29"/>
      <c r="K194" s="33"/>
      <c r="L194" s="33"/>
      <c r="M194" s="33"/>
      <c r="N194" s="33"/>
      <c r="O194" s="33"/>
      <c r="P194" s="33"/>
      <c r="Q194"/>
      <c r="R194" s="30"/>
      <c r="S194" s="30"/>
      <c r="T194" s="29"/>
      <c r="U194" s="29"/>
      <c r="V194" s="29"/>
      <c r="W194" s="29"/>
      <c r="X194" s="32"/>
      <c r="Y194" s="32"/>
    </row>
    <row r="195" spans="1:29" s="102" customFormat="1" x14ac:dyDescent="0.25">
      <c r="A195" s="29"/>
      <c r="B195"/>
      <c r="C195" s="30"/>
      <c r="D195" s="31"/>
      <c r="E195" s="30"/>
      <c r="F195" s="30"/>
      <c r="G195" s="29"/>
      <c r="H195" s="29"/>
      <c r="I195" s="29"/>
      <c r="J195" s="29"/>
      <c r="K195" s="33"/>
      <c r="L195" s="33"/>
      <c r="M195" s="33"/>
      <c r="N195" s="33"/>
      <c r="O195" s="33"/>
      <c r="P195" s="33"/>
      <c r="Q195"/>
      <c r="R195" s="30"/>
      <c r="S195" s="30"/>
      <c r="T195" s="29"/>
      <c r="U195" s="29"/>
      <c r="V195" s="29"/>
      <c r="W195" s="29"/>
      <c r="X195" s="32"/>
      <c r="Y195" s="32"/>
    </row>
    <row r="196" spans="1:29" s="102" customFormat="1" x14ac:dyDescent="0.25">
      <c r="A196" s="29"/>
      <c r="B196"/>
      <c r="C196" s="30"/>
      <c r="D196" s="31"/>
      <c r="E196" s="30"/>
      <c r="F196" s="30"/>
      <c r="G196" s="29"/>
      <c r="H196" s="29"/>
      <c r="I196" s="29"/>
      <c r="J196" s="29"/>
      <c r="K196" s="33"/>
      <c r="L196" s="33"/>
      <c r="M196" s="33"/>
      <c r="N196" s="33"/>
      <c r="O196" s="33"/>
      <c r="P196" s="33"/>
      <c r="Q196"/>
      <c r="R196" s="30"/>
      <c r="S196" s="30"/>
      <c r="T196" s="29"/>
      <c r="U196" s="29"/>
      <c r="V196" s="29"/>
      <c r="W196" s="29"/>
      <c r="X196" s="32"/>
      <c r="Y196" s="32"/>
    </row>
    <row r="197" spans="1:29" x14ac:dyDescent="0.25">
      <c r="B197"/>
      <c r="Z197" s="102"/>
      <c r="AA197" s="102"/>
      <c r="AB197" s="102"/>
      <c r="AC197" s="102"/>
    </row>
    <row r="198" spans="1:29" x14ac:dyDescent="0.25">
      <c r="B198"/>
      <c r="Z198" s="102"/>
      <c r="AA198" s="102"/>
      <c r="AB198" s="102"/>
      <c r="AC198" s="102"/>
    </row>
    <row r="199" spans="1:29" x14ac:dyDescent="0.25">
      <c r="B199"/>
    </row>
    <row r="200" spans="1:29" x14ac:dyDescent="0.25">
      <c r="B200"/>
    </row>
    <row r="201" spans="1:29" x14ac:dyDescent="0.25">
      <c r="B201"/>
    </row>
    <row r="202" spans="1:29" x14ac:dyDescent="0.25">
      <c r="B202"/>
    </row>
    <row r="203" spans="1:29" x14ac:dyDescent="0.25">
      <c r="B203"/>
    </row>
    <row r="204" spans="1:29" x14ac:dyDescent="0.25">
      <c r="B204"/>
    </row>
    <row r="205" spans="1:29" x14ac:dyDescent="0.25">
      <c r="B205"/>
    </row>
    <row r="206" spans="1:29" x14ac:dyDescent="0.25">
      <c r="B206"/>
    </row>
    <row r="207" spans="1:29" x14ac:dyDescent="0.25">
      <c r="B207"/>
    </row>
    <row r="208" spans="1:29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</sheetData>
  <mergeCells count="6">
    <mergeCell ref="E3:J3"/>
    <mergeCell ref="K3:P3"/>
    <mergeCell ref="R3:W3"/>
    <mergeCell ref="A73:A75"/>
    <mergeCell ref="C73:C75"/>
    <mergeCell ref="D73:D75"/>
  </mergeCells>
  <pageMargins left="0.7" right="0.7" top="0.78740157499999996" bottom="0.78740157499999996" header="0.3" footer="0.3"/>
  <pageSetup paperSize="8" scale="59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60"/>
  <sheetViews>
    <sheetView zoomScaleNormal="10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10.42578125" style="163" customWidth="1"/>
    <col min="2" max="2" width="26" style="163" customWidth="1"/>
    <col min="3" max="3" width="10" style="163" customWidth="1"/>
    <col min="4" max="4" width="11.28515625" style="164" customWidth="1"/>
    <col min="5" max="5" width="9.7109375" style="165" customWidth="1"/>
    <col min="6" max="6" width="11.5703125" style="166" customWidth="1"/>
    <col min="7" max="7" width="11.42578125" style="165" customWidth="1"/>
    <col min="8" max="8" width="8.85546875" style="163" customWidth="1"/>
    <col min="9" max="9" width="9.28515625" style="163" customWidth="1"/>
    <col min="10" max="10" width="9.42578125" style="163" customWidth="1"/>
    <col min="11" max="11" width="11.28515625" style="167" customWidth="1"/>
    <col min="12" max="12" width="10.42578125" style="167" customWidth="1"/>
    <col min="13" max="15" width="12.140625" style="163" customWidth="1"/>
    <col min="16" max="17" width="12.140625" style="169" customWidth="1"/>
    <col min="18" max="18" width="11.140625" style="163" customWidth="1"/>
    <col min="19" max="19" width="12.140625" style="163" customWidth="1"/>
    <col min="20" max="31" width="12" style="163" customWidth="1"/>
    <col min="32" max="32" width="20.5703125" style="163" customWidth="1"/>
    <col min="33" max="33" width="9.140625" style="163"/>
    <col min="34" max="34" width="10.85546875" style="163" bestFit="1" customWidth="1"/>
    <col min="35" max="16384" width="9.140625" style="163"/>
  </cols>
  <sheetData>
    <row r="1" spans="1:33" s="341" customFormat="1" ht="15" customHeight="1" x14ac:dyDescent="0.25">
      <c r="A1" s="340" t="s">
        <v>441</v>
      </c>
      <c r="D1" s="342"/>
      <c r="E1" s="343"/>
      <c r="F1" s="344"/>
      <c r="G1" s="343"/>
      <c r="K1" s="345"/>
      <c r="L1" s="345"/>
      <c r="P1" s="346"/>
      <c r="Q1" s="346"/>
    </row>
    <row r="3" spans="1:33" s="130" customFormat="1" ht="101.25" x14ac:dyDescent="0.2">
      <c r="A3" s="106" t="s">
        <v>293</v>
      </c>
      <c r="B3" s="107" t="s">
        <v>294</v>
      </c>
      <c r="C3" s="108" t="s">
        <v>295</v>
      </c>
      <c r="D3" s="109" t="s">
        <v>296</v>
      </c>
      <c r="E3" s="110" t="s">
        <v>297</v>
      </c>
      <c r="F3" s="109" t="s">
        <v>298</v>
      </c>
      <c r="G3" s="111" t="s">
        <v>299</v>
      </c>
      <c r="H3" s="112" t="s">
        <v>300</v>
      </c>
      <c r="I3" s="113" t="s">
        <v>301</v>
      </c>
      <c r="J3" s="112" t="s">
        <v>302</v>
      </c>
      <c r="K3" s="111" t="s">
        <v>303</v>
      </c>
      <c r="L3" s="114" t="s">
        <v>304</v>
      </c>
      <c r="M3" s="115" t="s">
        <v>305</v>
      </c>
      <c r="N3" s="115" t="s">
        <v>306</v>
      </c>
      <c r="O3" s="115" t="s">
        <v>307</v>
      </c>
      <c r="P3" s="115" t="s">
        <v>308</v>
      </c>
      <c r="Q3" s="115" t="s">
        <v>309</v>
      </c>
      <c r="R3" s="116" t="s">
        <v>310</v>
      </c>
      <c r="S3" s="117" t="s">
        <v>311</v>
      </c>
      <c r="T3" s="118" t="s">
        <v>312</v>
      </c>
      <c r="U3" s="118" t="s">
        <v>313</v>
      </c>
      <c r="V3" s="119" t="s">
        <v>314</v>
      </c>
      <c r="W3" s="120" t="s">
        <v>315</v>
      </c>
      <c r="X3" s="121" t="s">
        <v>316</v>
      </c>
      <c r="Y3" s="121" t="s">
        <v>317</v>
      </c>
      <c r="Z3" s="122" t="s">
        <v>318</v>
      </c>
      <c r="AA3" s="123" t="s">
        <v>319</v>
      </c>
      <c r="AB3" s="124" t="s">
        <v>320</v>
      </c>
      <c r="AC3" s="125" t="s">
        <v>321</v>
      </c>
      <c r="AD3" s="126" t="s">
        <v>322</v>
      </c>
      <c r="AE3" s="127" t="s">
        <v>323</v>
      </c>
      <c r="AF3" s="128" t="s">
        <v>324</v>
      </c>
      <c r="AG3" s="129"/>
    </row>
    <row r="4" spans="1:33" s="130" customFormat="1" ht="11.25" x14ac:dyDescent="0.2">
      <c r="A4" s="131" t="s">
        <v>325</v>
      </c>
      <c r="B4" s="132" t="s">
        <v>326</v>
      </c>
      <c r="C4" s="132"/>
      <c r="D4" s="133"/>
      <c r="E4" s="134"/>
      <c r="F4" s="135"/>
      <c r="G4" s="134"/>
      <c r="H4" s="135"/>
      <c r="I4" s="135"/>
      <c r="J4" s="135"/>
      <c r="K4" s="134"/>
      <c r="L4" s="134"/>
      <c r="M4" s="136"/>
      <c r="N4" s="136"/>
      <c r="O4" s="136"/>
      <c r="P4" s="136"/>
      <c r="Q4" s="136"/>
      <c r="R4" s="136"/>
      <c r="S4" s="136">
        <f t="shared" ref="S4:S6" si="0">P4+R4</f>
        <v>0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</row>
    <row r="5" spans="1:33" s="130" customFormat="1" ht="11.25" x14ac:dyDescent="0.2">
      <c r="A5" s="137" t="s">
        <v>325</v>
      </c>
      <c r="B5" s="138" t="s">
        <v>327</v>
      </c>
      <c r="C5" s="138"/>
      <c r="D5" s="139" t="s">
        <v>328</v>
      </c>
      <c r="E5" s="140">
        <v>566.94000000000005</v>
      </c>
      <c r="F5" s="141">
        <v>3</v>
      </c>
      <c r="G5" s="142">
        <v>2.3508333333333327</v>
      </c>
      <c r="H5" s="143" t="s">
        <v>329</v>
      </c>
      <c r="I5" s="143" t="s">
        <v>329</v>
      </c>
      <c r="J5" s="143" t="s">
        <v>329</v>
      </c>
      <c r="K5" s="144" t="s">
        <v>329</v>
      </c>
      <c r="L5" s="144" t="s">
        <v>329</v>
      </c>
      <c r="M5" s="145">
        <v>912000</v>
      </c>
      <c r="N5" s="145">
        <v>6008000</v>
      </c>
      <c r="O5" s="145">
        <v>1504000</v>
      </c>
      <c r="P5" s="146">
        <f>SUM(M5:N5)</f>
        <v>6920000</v>
      </c>
      <c r="Q5" s="146">
        <f t="shared" ref="Q5:Q6" si="1">SUM(M5:N5)-O5</f>
        <v>5416000</v>
      </c>
      <c r="R5" s="147"/>
      <c r="S5" s="148">
        <f t="shared" si="0"/>
        <v>6920000</v>
      </c>
      <c r="T5" s="146" t="s">
        <v>329</v>
      </c>
      <c r="U5" s="146" t="s">
        <v>329</v>
      </c>
      <c r="V5" s="146" t="s">
        <v>329</v>
      </c>
      <c r="W5" s="146" t="s">
        <v>329</v>
      </c>
      <c r="X5" s="146" t="s">
        <v>329</v>
      </c>
      <c r="Y5" s="146" t="s">
        <v>329</v>
      </c>
      <c r="Z5" s="146" t="s">
        <v>329</v>
      </c>
      <c r="AA5" s="146" t="s">
        <v>329</v>
      </c>
      <c r="AB5" s="146" t="s">
        <v>329</v>
      </c>
      <c r="AC5" s="146" t="s">
        <v>329</v>
      </c>
      <c r="AD5" s="146" t="s">
        <v>329</v>
      </c>
      <c r="AE5" s="146" t="s">
        <v>329</v>
      </c>
      <c r="AF5" s="146" t="s">
        <v>329</v>
      </c>
    </row>
    <row r="6" spans="1:33" s="130" customFormat="1" ht="11.25" x14ac:dyDescent="0.2">
      <c r="A6" s="137" t="str">
        <f t="shared" ref="A6:A39" si="2">$A$4</f>
        <v>Rektorát</v>
      </c>
      <c r="B6" s="138"/>
      <c r="C6" s="138"/>
      <c r="D6" s="139"/>
      <c r="E6" s="149"/>
      <c r="F6" s="150"/>
      <c r="G6" s="149"/>
      <c r="H6" s="143" t="s">
        <v>329</v>
      </c>
      <c r="I6" s="143" t="s">
        <v>329</v>
      </c>
      <c r="J6" s="143" t="s">
        <v>329</v>
      </c>
      <c r="K6" s="144" t="s">
        <v>329</v>
      </c>
      <c r="L6" s="144" t="s">
        <v>329</v>
      </c>
      <c r="M6" s="145"/>
      <c r="N6" s="145"/>
      <c r="O6" s="145"/>
      <c r="P6" s="146">
        <f>SUM(M6:N6)</f>
        <v>0</v>
      </c>
      <c r="Q6" s="146">
        <f t="shared" si="1"/>
        <v>0</v>
      </c>
      <c r="R6" s="145"/>
      <c r="S6" s="148">
        <f t="shared" si="0"/>
        <v>0</v>
      </c>
      <c r="T6" s="146" t="s">
        <v>329</v>
      </c>
      <c r="U6" s="146" t="s">
        <v>329</v>
      </c>
      <c r="V6" s="146" t="s">
        <v>329</v>
      </c>
      <c r="W6" s="146" t="s">
        <v>329</v>
      </c>
      <c r="X6" s="146" t="s">
        <v>329</v>
      </c>
      <c r="Y6" s="146" t="s">
        <v>329</v>
      </c>
      <c r="Z6" s="146" t="s">
        <v>329</v>
      </c>
      <c r="AA6" s="146" t="s">
        <v>329</v>
      </c>
      <c r="AB6" s="146" t="s">
        <v>329</v>
      </c>
      <c r="AC6" s="146" t="s">
        <v>329</v>
      </c>
      <c r="AD6" s="146" t="s">
        <v>329</v>
      </c>
      <c r="AE6" s="146" t="s">
        <v>329</v>
      </c>
      <c r="AF6" s="146" t="s">
        <v>329</v>
      </c>
    </row>
    <row r="7" spans="1:33" s="130" customFormat="1" ht="11.25" x14ac:dyDescent="0.2">
      <c r="A7" s="137" t="str">
        <f t="shared" si="2"/>
        <v>Rektorát</v>
      </c>
      <c r="B7" s="137" t="s">
        <v>330</v>
      </c>
      <c r="C7" s="137"/>
      <c r="D7" s="151"/>
      <c r="E7" s="144">
        <f>SUM(E5:E6)</f>
        <v>566.94000000000005</v>
      </c>
      <c r="F7" s="144">
        <f>SUM(F5:F6)</f>
        <v>3</v>
      </c>
      <c r="G7" s="144">
        <f>SUM(G5:G6)</f>
        <v>2.3508333333333327</v>
      </c>
      <c r="H7" s="143"/>
      <c r="I7" s="143"/>
      <c r="J7" s="143"/>
      <c r="K7" s="144"/>
      <c r="L7" s="144"/>
      <c r="M7" s="146">
        <f>SUM(M5:M6)</f>
        <v>912000</v>
      </c>
      <c r="N7" s="146">
        <f>SUM(N5:N6)</f>
        <v>6008000</v>
      </c>
      <c r="O7" s="146">
        <f>SUM(O5:O6)</f>
        <v>1504000</v>
      </c>
      <c r="P7" s="146">
        <f>SUM(P5:P6)</f>
        <v>6920000</v>
      </c>
      <c r="Q7" s="146">
        <f t="shared" ref="Q7:S7" si="3">SUM(Q5:Q6)</f>
        <v>5416000</v>
      </c>
      <c r="R7" s="146">
        <f>SUM(R5:R6)</f>
        <v>0</v>
      </c>
      <c r="S7" s="148">
        <f t="shared" si="3"/>
        <v>6920000</v>
      </c>
      <c r="T7" s="148">
        <f>S7</f>
        <v>6920000</v>
      </c>
      <c r="U7" s="146" t="s">
        <v>329</v>
      </c>
      <c r="V7" s="146" t="s">
        <v>329</v>
      </c>
      <c r="W7" s="146" t="s">
        <v>329</v>
      </c>
      <c r="X7" s="146" t="s">
        <v>329</v>
      </c>
      <c r="Y7" s="146" t="s">
        <v>329</v>
      </c>
      <c r="Z7" s="146" t="s">
        <v>329</v>
      </c>
      <c r="AA7" s="146" t="s">
        <v>329</v>
      </c>
      <c r="AB7" s="146" t="s">
        <v>329</v>
      </c>
      <c r="AC7" s="146" t="s">
        <v>329</v>
      </c>
      <c r="AD7" s="146" t="s">
        <v>329</v>
      </c>
      <c r="AE7" s="146" t="s">
        <v>329</v>
      </c>
      <c r="AF7" s="146" t="s">
        <v>329</v>
      </c>
    </row>
    <row r="8" spans="1:33" s="130" customFormat="1" ht="11.25" x14ac:dyDescent="0.2">
      <c r="A8" s="131"/>
      <c r="B8" s="132" t="s">
        <v>331</v>
      </c>
      <c r="C8" s="132"/>
      <c r="D8" s="133"/>
      <c r="E8" s="134"/>
      <c r="F8" s="135"/>
      <c r="G8" s="134"/>
      <c r="H8" s="135"/>
      <c r="I8" s="135"/>
      <c r="J8" s="135"/>
      <c r="K8" s="134"/>
      <c r="L8" s="134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33" s="130" customFormat="1" ht="22.5" x14ac:dyDescent="0.2">
      <c r="A9" s="137" t="s">
        <v>332</v>
      </c>
      <c r="B9" s="138" t="s">
        <v>333</v>
      </c>
      <c r="C9" s="138"/>
      <c r="D9" s="139" t="s">
        <v>334</v>
      </c>
      <c r="E9" s="140">
        <v>576.53</v>
      </c>
      <c r="F9" s="141">
        <v>18</v>
      </c>
      <c r="G9" s="142">
        <v>16.73</v>
      </c>
      <c r="H9" s="143" t="s">
        <v>329</v>
      </c>
      <c r="I9" s="143" t="s">
        <v>329</v>
      </c>
      <c r="J9" s="143" t="s">
        <v>329</v>
      </c>
      <c r="K9" s="144" t="s">
        <v>329</v>
      </c>
      <c r="L9" s="144" t="s">
        <v>329</v>
      </c>
      <c r="M9" s="145">
        <v>5771500</v>
      </c>
      <c r="N9" s="145">
        <v>8253000</v>
      </c>
      <c r="O9" s="145">
        <v>536000</v>
      </c>
      <c r="P9" s="146">
        <f t="shared" ref="P9:P10" si="4">SUM(M9:N9)</f>
        <v>14024500</v>
      </c>
      <c r="Q9" s="146">
        <f t="shared" ref="Q9:Q10" si="5">SUM(M9:N9)-O9</f>
        <v>13488500</v>
      </c>
      <c r="R9" s="145"/>
      <c r="S9" s="152">
        <f t="shared" ref="S9:S10" si="6">P9+R9</f>
        <v>14024500</v>
      </c>
      <c r="T9" s="146" t="s">
        <v>329</v>
      </c>
      <c r="U9" s="146" t="s">
        <v>329</v>
      </c>
      <c r="V9" s="146" t="s">
        <v>329</v>
      </c>
      <c r="W9" s="146" t="s">
        <v>329</v>
      </c>
      <c r="X9" s="146" t="s">
        <v>329</v>
      </c>
      <c r="Y9" s="146" t="s">
        <v>329</v>
      </c>
      <c r="Z9" s="146" t="s">
        <v>329</v>
      </c>
      <c r="AA9" s="146" t="s">
        <v>329</v>
      </c>
      <c r="AB9" s="146" t="s">
        <v>329</v>
      </c>
      <c r="AC9" s="146" t="s">
        <v>329</v>
      </c>
      <c r="AD9" s="146" t="s">
        <v>329</v>
      </c>
      <c r="AE9" s="146" t="s">
        <v>329</v>
      </c>
      <c r="AF9" s="146" t="s">
        <v>329</v>
      </c>
    </row>
    <row r="10" spans="1:33" s="130" customFormat="1" ht="11.25" x14ac:dyDescent="0.2">
      <c r="A10" s="137" t="str">
        <f t="shared" si="2"/>
        <v>Rektorát</v>
      </c>
      <c r="B10" s="138"/>
      <c r="C10" s="138"/>
      <c r="D10" s="139"/>
      <c r="E10" s="149"/>
      <c r="F10" s="150"/>
      <c r="G10" s="149"/>
      <c r="H10" s="143" t="s">
        <v>329</v>
      </c>
      <c r="I10" s="143" t="s">
        <v>329</v>
      </c>
      <c r="J10" s="143" t="s">
        <v>329</v>
      </c>
      <c r="K10" s="144" t="s">
        <v>329</v>
      </c>
      <c r="L10" s="144" t="s">
        <v>329</v>
      </c>
      <c r="M10" s="145"/>
      <c r="N10" s="145"/>
      <c r="O10" s="145"/>
      <c r="P10" s="146">
        <f t="shared" si="4"/>
        <v>0</v>
      </c>
      <c r="Q10" s="146">
        <f t="shared" si="5"/>
        <v>0</v>
      </c>
      <c r="R10" s="145"/>
      <c r="S10" s="152">
        <f t="shared" si="6"/>
        <v>0</v>
      </c>
      <c r="T10" s="146" t="s">
        <v>329</v>
      </c>
      <c r="U10" s="146" t="s">
        <v>329</v>
      </c>
      <c r="V10" s="146" t="s">
        <v>329</v>
      </c>
      <c r="W10" s="146" t="s">
        <v>329</v>
      </c>
      <c r="X10" s="146" t="s">
        <v>329</v>
      </c>
      <c r="Y10" s="146" t="s">
        <v>329</v>
      </c>
      <c r="Z10" s="146" t="s">
        <v>329</v>
      </c>
      <c r="AA10" s="146" t="s">
        <v>329</v>
      </c>
      <c r="AB10" s="146" t="s">
        <v>329</v>
      </c>
      <c r="AC10" s="146" t="s">
        <v>329</v>
      </c>
      <c r="AD10" s="146" t="s">
        <v>329</v>
      </c>
      <c r="AE10" s="146" t="s">
        <v>329</v>
      </c>
      <c r="AF10" s="146" t="s">
        <v>329</v>
      </c>
    </row>
    <row r="11" spans="1:33" s="130" customFormat="1" ht="11.25" x14ac:dyDescent="0.2">
      <c r="A11" s="137" t="str">
        <f t="shared" si="2"/>
        <v>Rektorát</v>
      </c>
      <c r="B11" s="137" t="s">
        <v>335</v>
      </c>
      <c r="C11" s="137"/>
      <c r="D11" s="151"/>
      <c r="E11" s="144">
        <f>SUM(E9:E10)</f>
        <v>576.53</v>
      </c>
      <c r="F11" s="144">
        <f t="shared" ref="F11:G11" si="7">SUM(F9:F10)</f>
        <v>18</v>
      </c>
      <c r="G11" s="144">
        <f t="shared" si="7"/>
        <v>16.73</v>
      </c>
      <c r="H11" s="143"/>
      <c r="I11" s="143"/>
      <c r="J11" s="143"/>
      <c r="K11" s="144"/>
      <c r="L11" s="144"/>
      <c r="M11" s="146">
        <f t="shared" ref="M11:O11" si="8">SUM(M9:M10)</f>
        <v>5771500</v>
      </c>
      <c r="N11" s="146">
        <f t="shared" si="8"/>
        <v>8253000</v>
      </c>
      <c r="O11" s="146">
        <f t="shared" si="8"/>
        <v>536000</v>
      </c>
      <c r="P11" s="146">
        <f>SUM(P9:P10)</f>
        <v>14024500</v>
      </c>
      <c r="Q11" s="146">
        <f t="shared" ref="Q11:S11" si="9">SUM(Q9:Q10)</f>
        <v>13488500</v>
      </c>
      <c r="R11" s="146">
        <f>SUM(R9:R10)</f>
        <v>0</v>
      </c>
      <c r="S11" s="152">
        <f t="shared" si="9"/>
        <v>14024500</v>
      </c>
      <c r="T11" s="146" t="s">
        <v>329</v>
      </c>
      <c r="U11" s="148">
        <f>$T$7/SUM($E$55-$E$7-$E$53-$E$34)*E11</f>
        <v>1425891.5781497951</v>
      </c>
      <c r="V11" s="152">
        <f>S11+U11</f>
        <v>15450391.578149796</v>
      </c>
      <c r="W11" s="146" t="s">
        <v>329</v>
      </c>
      <c r="X11" s="146" t="s">
        <v>329</v>
      </c>
      <c r="Y11" s="146" t="s">
        <v>329</v>
      </c>
      <c r="Z11" s="146" t="s">
        <v>329</v>
      </c>
      <c r="AA11" s="146" t="s">
        <v>329</v>
      </c>
      <c r="AB11" s="146" t="s">
        <v>329</v>
      </c>
      <c r="AC11" s="146" t="s">
        <v>329</v>
      </c>
      <c r="AD11" s="146" t="s">
        <v>329</v>
      </c>
      <c r="AE11" s="146" t="s">
        <v>329</v>
      </c>
      <c r="AF11" s="146" t="s">
        <v>329</v>
      </c>
    </row>
    <row r="12" spans="1:33" s="130" customFormat="1" ht="11.25" x14ac:dyDescent="0.2">
      <c r="A12" s="131"/>
      <c r="B12" s="132" t="s">
        <v>336</v>
      </c>
      <c r="C12" s="132"/>
      <c r="D12" s="133"/>
      <c r="E12" s="134"/>
      <c r="F12" s="135"/>
      <c r="G12" s="134"/>
      <c r="H12" s="135"/>
      <c r="I12" s="135"/>
      <c r="J12" s="135"/>
      <c r="K12" s="134"/>
      <c r="L12" s="134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</row>
    <row r="13" spans="1:33" s="130" customFormat="1" ht="22.5" x14ac:dyDescent="0.2">
      <c r="A13" s="137" t="str">
        <f t="shared" si="2"/>
        <v>Rektorát</v>
      </c>
      <c r="B13" s="138" t="s">
        <v>337</v>
      </c>
      <c r="C13" s="138"/>
      <c r="D13" s="139" t="s">
        <v>338</v>
      </c>
      <c r="E13" s="140">
        <v>311.37</v>
      </c>
      <c r="F13" s="141">
        <v>10</v>
      </c>
      <c r="G13" s="142">
        <v>9</v>
      </c>
      <c r="H13" s="143" t="s">
        <v>329</v>
      </c>
      <c r="I13" s="143" t="s">
        <v>329</v>
      </c>
      <c r="J13" s="143" t="s">
        <v>329</v>
      </c>
      <c r="K13" s="144" t="s">
        <v>329</v>
      </c>
      <c r="L13" s="144" t="s">
        <v>329</v>
      </c>
      <c r="M13" s="145">
        <v>4057160</v>
      </c>
      <c r="N13" s="145">
        <v>1384000</v>
      </c>
      <c r="O13" s="145">
        <v>199000</v>
      </c>
      <c r="P13" s="146">
        <f t="shared" ref="P13:P14" si="10">SUM(M13:N13)</f>
        <v>5441160</v>
      </c>
      <c r="Q13" s="146">
        <f t="shared" ref="Q13:Q14" si="11">SUM(M13:N13)-O13</f>
        <v>5242160</v>
      </c>
      <c r="R13" s="145"/>
      <c r="S13" s="153">
        <f t="shared" ref="S13:S14" si="12">P13+R13</f>
        <v>5441160</v>
      </c>
      <c r="T13" s="146" t="s">
        <v>329</v>
      </c>
      <c r="U13" s="146" t="s">
        <v>329</v>
      </c>
      <c r="V13" s="146" t="s">
        <v>329</v>
      </c>
      <c r="W13" s="146" t="s">
        <v>329</v>
      </c>
      <c r="X13" s="146" t="s">
        <v>329</v>
      </c>
      <c r="Y13" s="146" t="s">
        <v>329</v>
      </c>
      <c r="Z13" s="146" t="s">
        <v>329</v>
      </c>
      <c r="AA13" s="146" t="s">
        <v>329</v>
      </c>
      <c r="AB13" s="146" t="s">
        <v>329</v>
      </c>
      <c r="AC13" s="146" t="s">
        <v>329</v>
      </c>
      <c r="AD13" s="146" t="s">
        <v>329</v>
      </c>
      <c r="AE13" s="146" t="s">
        <v>329</v>
      </c>
      <c r="AF13" s="146" t="s">
        <v>329</v>
      </c>
    </row>
    <row r="14" spans="1:33" s="130" customFormat="1" ht="11.25" x14ac:dyDescent="0.2">
      <c r="A14" s="137" t="str">
        <f t="shared" si="2"/>
        <v>Rektorát</v>
      </c>
      <c r="B14" s="138"/>
      <c r="C14" s="138"/>
      <c r="D14" s="139"/>
      <c r="E14" s="149"/>
      <c r="F14" s="150"/>
      <c r="G14" s="149"/>
      <c r="H14" s="143" t="s">
        <v>329</v>
      </c>
      <c r="I14" s="143" t="s">
        <v>329</v>
      </c>
      <c r="J14" s="143" t="s">
        <v>329</v>
      </c>
      <c r="K14" s="144" t="s">
        <v>329</v>
      </c>
      <c r="L14" s="144" t="s">
        <v>329</v>
      </c>
      <c r="M14" s="145"/>
      <c r="N14" s="145"/>
      <c r="O14" s="145"/>
      <c r="P14" s="146">
        <f t="shared" si="10"/>
        <v>0</v>
      </c>
      <c r="Q14" s="146">
        <f t="shared" si="11"/>
        <v>0</v>
      </c>
      <c r="R14" s="145"/>
      <c r="S14" s="153">
        <f t="shared" si="12"/>
        <v>0</v>
      </c>
      <c r="T14" s="146" t="s">
        <v>329</v>
      </c>
      <c r="U14" s="146" t="s">
        <v>329</v>
      </c>
      <c r="V14" s="146" t="s">
        <v>329</v>
      </c>
      <c r="W14" s="146" t="s">
        <v>329</v>
      </c>
      <c r="X14" s="146" t="s">
        <v>329</v>
      </c>
      <c r="Y14" s="146" t="s">
        <v>329</v>
      </c>
      <c r="Z14" s="146" t="s">
        <v>329</v>
      </c>
      <c r="AA14" s="146" t="s">
        <v>329</v>
      </c>
      <c r="AB14" s="146" t="s">
        <v>329</v>
      </c>
      <c r="AC14" s="146" t="s">
        <v>329</v>
      </c>
      <c r="AD14" s="146" t="s">
        <v>329</v>
      </c>
      <c r="AE14" s="146" t="s">
        <v>329</v>
      </c>
      <c r="AF14" s="146" t="s">
        <v>329</v>
      </c>
    </row>
    <row r="15" spans="1:33" s="130" customFormat="1" ht="11.25" x14ac:dyDescent="0.2">
      <c r="A15" s="137" t="str">
        <f t="shared" si="2"/>
        <v>Rektorát</v>
      </c>
      <c r="B15" s="137" t="s">
        <v>339</v>
      </c>
      <c r="C15" s="137"/>
      <c r="D15" s="151"/>
      <c r="E15" s="144">
        <f>SUM(E13:E14)</f>
        <v>311.37</v>
      </c>
      <c r="F15" s="144">
        <f>SUM(F13:F14)</f>
        <v>10</v>
      </c>
      <c r="G15" s="144">
        <f>SUM(G13:G14)</f>
        <v>9</v>
      </c>
      <c r="H15" s="143"/>
      <c r="I15" s="143"/>
      <c r="J15" s="143"/>
      <c r="K15" s="144"/>
      <c r="L15" s="144"/>
      <c r="M15" s="146">
        <f t="shared" ref="M15:O15" si="13">SUM(M13:M14)</f>
        <v>4057160</v>
      </c>
      <c r="N15" s="146">
        <f t="shared" si="13"/>
        <v>1384000</v>
      </c>
      <c r="O15" s="146">
        <f t="shared" si="13"/>
        <v>199000</v>
      </c>
      <c r="P15" s="146">
        <f>SUM(P13:P14)</f>
        <v>5441160</v>
      </c>
      <c r="Q15" s="146">
        <f t="shared" ref="Q15:S15" si="14">SUM(Q13:Q14)</f>
        <v>5242160</v>
      </c>
      <c r="R15" s="146">
        <f>SUM(R13:R14)</f>
        <v>0</v>
      </c>
      <c r="S15" s="153">
        <f t="shared" si="14"/>
        <v>5441160</v>
      </c>
      <c r="T15" s="146" t="s">
        <v>329</v>
      </c>
      <c r="U15" s="148">
        <f>$T$7/SUM($E$55-$E$7-$E$53-$E$34)*E15</f>
        <v>770089.77969663637</v>
      </c>
      <c r="V15" s="146" t="s">
        <v>329</v>
      </c>
      <c r="W15" s="152">
        <f>$V$11/SUM($F$55-$F$7-$F$11+$H$55+$I$55*0.5)*SUM(F15)</f>
        <v>15308.026927721981</v>
      </c>
      <c r="X15" s="153">
        <f>S15+U15+W15</f>
        <v>6226557.8066243576</v>
      </c>
      <c r="Y15" s="146" t="s">
        <v>329</v>
      </c>
      <c r="Z15" s="146" t="s">
        <v>329</v>
      </c>
      <c r="AA15" s="146" t="s">
        <v>329</v>
      </c>
      <c r="AB15" s="146" t="s">
        <v>329</v>
      </c>
      <c r="AC15" s="146" t="s">
        <v>329</v>
      </c>
      <c r="AD15" s="146" t="s">
        <v>329</v>
      </c>
      <c r="AE15" s="146" t="s">
        <v>329</v>
      </c>
      <c r="AF15" s="146" t="s">
        <v>329</v>
      </c>
    </row>
    <row r="16" spans="1:33" s="130" customFormat="1" ht="24.75" customHeight="1" x14ac:dyDescent="0.2">
      <c r="A16" s="131"/>
      <c r="B16" s="132" t="s">
        <v>340</v>
      </c>
      <c r="C16" s="132"/>
      <c r="D16" s="133"/>
      <c r="E16" s="134"/>
      <c r="F16" s="135"/>
      <c r="G16" s="134"/>
      <c r="H16" s="135"/>
      <c r="I16" s="135"/>
      <c r="J16" s="135"/>
      <c r="K16" s="134"/>
      <c r="L16" s="134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</row>
    <row r="17" spans="1:32" s="130" customFormat="1" ht="11.25" x14ac:dyDescent="0.2">
      <c r="A17" s="137" t="str">
        <f t="shared" si="2"/>
        <v>Rektorát</v>
      </c>
      <c r="B17" s="138" t="s">
        <v>341</v>
      </c>
      <c r="C17" s="138"/>
      <c r="D17" s="139" t="s">
        <v>342</v>
      </c>
      <c r="E17" s="140">
        <v>49.35</v>
      </c>
      <c r="F17" s="141">
        <v>2</v>
      </c>
      <c r="G17" s="142">
        <v>1.2</v>
      </c>
      <c r="H17" s="143" t="s">
        <v>329</v>
      </c>
      <c r="I17" s="143" t="s">
        <v>329</v>
      </c>
      <c r="J17" s="143" t="s">
        <v>329</v>
      </c>
      <c r="K17" s="144" t="s">
        <v>329</v>
      </c>
      <c r="L17" s="144" t="s">
        <v>329</v>
      </c>
      <c r="M17" s="145">
        <v>402000</v>
      </c>
      <c r="N17" s="145">
        <v>84000</v>
      </c>
      <c r="O17" s="145"/>
      <c r="P17" s="146">
        <f t="shared" ref="P17:P29" si="15">SUM(M17:N17)</f>
        <v>486000</v>
      </c>
      <c r="Q17" s="146">
        <f t="shared" ref="Q17:Q28" si="16">SUM(M17:N17)-O17</f>
        <v>486000</v>
      </c>
      <c r="R17" s="145"/>
      <c r="S17" s="154">
        <f t="shared" ref="S17:S29" si="17">P17+R17</f>
        <v>486000</v>
      </c>
      <c r="T17" s="146" t="s">
        <v>329</v>
      </c>
      <c r="U17" s="146" t="s">
        <v>329</v>
      </c>
      <c r="V17" s="146" t="s">
        <v>329</v>
      </c>
      <c r="W17" s="146" t="s">
        <v>329</v>
      </c>
      <c r="X17" s="146" t="s">
        <v>329</v>
      </c>
      <c r="Y17" s="146" t="s">
        <v>329</v>
      </c>
      <c r="Z17" s="146" t="s">
        <v>329</v>
      </c>
      <c r="AA17" s="146" t="s">
        <v>329</v>
      </c>
      <c r="AB17" s="146" t="s">
        <v>329</v>
      </c>
      <c r="AC17" s="146" t="s">
        <v>329</v>
      </c>
      <c r="AD17" s="146" t="s">
        <v>329</v>
      </c>
      <c r="AE17" s="146" t="s">
        <v>329</v>
      </c>
      <c r="AF17" s="146" t="s">
        <v>329</v>
      </c>
    </row>
    <row r="18" spans="1:32" s="130" customFormat="1" ht="11.25" x14ac:dyDescent="0.2">
      <c r="A18" s="137" t="str">
        <f t="shared" si="2"/>
        <v>Rektorát</v>
      </c>
      <c r="B18" s="138" t="s">
        <v>343</v>
      </c>
      <c r="C18" s="138"/>
      <c r="D18" s="139" t="s">
        <v>344</v>
      </c>
      <c r="E18" s="140">
        <v>108.85</v>
      </c>
      <c r="F18" s="141">
        <v>5</v>
      </c>
      <c r="G18" s="142">
        <v>2.4474999999999998</v>
      </c>
      <c r="H18" s="143" t="s">
        <v>329</v>
      </c>
      <c r="I18" s="143" t="s">
        <v>329</v>
      </c>
      <c r="J18" s="143" t="s">
        <v>329</v>
      </c>
      <c r="K18" s="144" t="s">
        <v>329</v>
      </c>
      <c r="L18" s="144" t="s">
        <v>329</v>
      </c>
      <c r="M18" s="145">
        <v>1159000</v>
      </c>
      <c r="N18" s="145">
        <v>259000</v>
      </c>
      <c r="O18" s="145"/>
      <c r="P18" s="146">
        <f t="shared" si="15"/>
        <v>1418000</v>
      </c>
      <c r="Q18" s="146">
        <f t="shared" si="16"/>
        <v>1418000</v>
      </c>
      <c r="R18" s="145"/>
      <c r="S18" s="154">
        <f t="shared" si="17"/>
        <v>1418000</v>
      </c>
      <c r="T18" s="146" t="s">
        <v>329</v>
      </c>
      <c r="U18" s="146" t="s">
        <v>329</v>
      </c>
      <c r="V18" s="146" t="s">
        <v>329</v>
      </c>
      <c r="W18" s="146" t="s">
        <v>329</v>
      </c>
      <c r="X18" s="146" t="s">
        <v>329</v>
      </c>
      <c r="Y18" s="146" t="s">
        <v>329</v>
      </c>
      <c r="Z18" s="146" t="s">
        <v>329</v>
      </c>
      <c r="AA18" s="146" t="s">
        <v>329</v>
      </c>
      <c r="AB18" s="146" t="s">
        <v>329</v>
      </c>
      <c r="AC18" s="146" t="s">
        <v>329</v>
      </c>
      <c r="AD18" s="146" t="s">
        <v>329</v>
      </c>
      <c r="AE18" s="146" t="s">
        <v>329</v>
      </c>
      <c r="AF18" s="146" t="s">
        <v>329</v>
      </c>
    </row>
    <row r="19" spans="1:32" s="130" customFormat="1" ht="11.25" x14ac:dyDescent="0.2">
      <c r="A19" s="137" t="str">
        <f t="shared" si="2"/>
        <v>Rektorát</v>
      </c>
      <c r="B19" s="138" t="s">
        <v>345</v>
      </c>
      <c r="C19" s="138"/>
      <c r="D19" s="139" t="s">
        <v>346</v>
      </c>
      <c r="E19" s="140">
        <v>214.6</v>
      </c>
      <c r="F19" s="141">
        <v>10</v>
      </c>
      <c r="G19" s="142">
        <v>6.9499999999999993</v>
      </c>
      <c r="H19" s="143" t="s">
        <v>329</v>
      </c>
      <c r="I19" s="143" t="s">
        <v>329</v>
      </c>
      <c r="J19" s="143" t="s">
        <v>329</v>
      </c>
      <c r="K19" s="144" t="s">
        <v>329</v>
      </c>
      <c r="L19" s="144" t="s">
        <v>329</v>
      </c>
      <c r="M19" s="145">
        <v>402000</v>
      </c>
      <c r="N19" s="145">
        <v>135000</v>
      </c>
      <c r="O19" s="145"/>
      <c r="P19" s="146">
        <f t="shared" si="15"/>
        <v>537000</v>
      </c>
      <c r="Q19" s="146">
        <f t="shared" si="16"/>
        <v>537000</v>
      </c>
      <c r="R19" s="145"/>
      <c r="S19" s="154">
        <f t="shared" si="17"/>
        <v>537000</v>
      </c>
      <c r="T19" s="146" t="s">
        <v>329</v>
      </c>
      <c r="U19" s="146" t="s">
        <v>329</v>
      </c>
      <c r="V19" s="146" t="s">
        <v>329</v>
      </c>
      <c r="W19" s="146" t="s">
        <v>329</v>
      </c>
      <c r="X19" s="146" t="s">
        <v>329</v>
      </c>
      <c r="Y19" s="146" t="s">
        <v>329</v>
      </c>
      <c r="Z19" s="146" t="s">
        <v>329</v>
      </c>
      <c r="AA19" s="146" t="s">
        <v>329</v>
      </c>
      <c r="AB19" s="146" t="s">
        <v>329</v>
      </c>
      <c r="AC19" s="146" t="s">
        <v>329</v>
      </c>
      <c r="AD19" s="146" t="s">
        <v>329</v>
      </c>
      <c r="AE19" s="146" t="s">
        <v>329</v>
      </c>
      <c r="AF19" s="146" t="s">
        <v>329</v>
      </c>
    </row>
    <row r="20" spans="1:32" s="130" customFormat="1" ht="11.25" x14ac:dyDescent="0.2">
      <c r="A20" s="137" t="str">
        <f t="shared" si="2"/>
        <v>Rektorát</v>
      </c>
      <c r="B20" s="138" t="s">
        <v>347</v>
      </c>
      <c r="C20" s="138"/>
      <c r="D20" s="139" t="s">
        <v>348</v>
      </c>
      <c r="E20" s="140">
        <v>117.26</v>
      </c>
      <c r="F20" s="141">
        <v>3</v>
      </c>
      <c r="G20" s="142">
        <v>3</v>
      </c>
      <c r="H20" s="143" t="s">
        <v>329</v>
      </c>
      <c r="I20" s="143" t="s">
        <v>329</v>
      </c>
      <c r="J20" s="143" t="s">
        <v>329</v>
      </c>
      <c r="K20" s="144" t="s">
        <v>329</v>
      </c>
      <c r="L20" s="144" t="s">
        <v>329</v>
      </c>
      <c r="M20" s="145">
        <v>2429000</v>
      </c>
      <c r="N20" s="145">
        <v>3656000</v>
      </c>
      <c r="O20" s="145"/>
      <c r="P20" s="146">
        <f t="shared" si="15"/>
        <v>6085000</v>
      </c>
      <c r="Q20" s="146">
        <f t="shared" si="16"/>
        <v>6085000</v>
      </c>
      <c r="R20" s="145"/>
      <c r="S20" s="154">
        <f t="shared" si="17"/>
        <v>6085000</v>
      </c>
      <c r="T20" s="146" t="s">
        <v>329</v>
      </c>
      <c r="U20" s="146" t="s">
        <v>329</v>
      </c>
      <c r="V20" s="146" t="s">
        <v>329</v>
      </c>
      <c r="W20" s="146" t="s">
        <v>329</v>
      </c>
      <c r="X20" s="146" t="s">
        <v>329</v>
      </c>
      <c r="Y20" s="146" t="s">
        <v>329</v>
      </c>
      <c r="Z20" s="146" t="s">
        <v>329</v>
      </c>
      <c r="AA20" s="146" t="s">
        <v>329</v>
      </c>
      <c r="AB20" s="146" t="s">
        <v>329</v>
      </c>
      <c r="AC20" s="146" t="s">
        <v>329</v>
      </c>
      <c r="AD20" s="146" t="s">
        <v>329</v>
      </c>
      <c r="AE20" s="146" t="s">
        <v>329</v>
      </c>
      <c r="AF20" s="146" t="s">
        <v>329</v>
      </c>
    </row>
    <row r="21" spans="1:32" s="130" customFormat="1" ht="11.25" x14ac:dyDescent="0.2">
      <c r="A21" s="137" t="str">
        <f t="shared" si="2"/>
        <v>Rektorát</v>
      </c>
      <c r="B21" s="138" t="s">
        <v>349</v>
      </c>
      <c r="C21" s="138"/>
      <c r="D21" s="139" t="s">
        <v>350</v>
      </c>
      <c r="E21" s="140">
        <v>593.41</v>
      </c>
      <c r="F21" s="141">
        <v>28</v>
      </c>
      <c r="G21" s="142">
        <v>27.390000000000004</v>
      </c>
      <c r="H21" s="143" t="s">
        <v>329</v>
      </c>
      <c r="I21" s="143" t="s">
        <v>329</v>
      </c>
      <c r="J21" s="143" t="s">
        <v>329</v>
      </c>
      <c r="K21" s="144" t="s">
        <v>329</v>
      </c>
      <c r="L21" s="144" t="s">
        <v>329</v>
      </c>
      <c r="M21" s="145">
        <v>8743700</v>
      </c>
      <c r="N21" s="145">
        <v>1757000</v>
      </c>
      <c r="O21" s="145"/>
      <c r="P21" s="146">
        <f t="shared" si="15"/>
        <v>10500700</v>
      </c>
      <c r="Q21" s="146">
        <f t="shared" si="16"/>
        <v>10500700</v>
      </c>
      <c r="R21" s="145"/>
      <c r="S21" s="154">
        <f t="shared" si="17"/>
        <v>10500700</v>
      </c>
      <c r="T21" s="146" t="s">
        <v>329</v>
      </c>
      <c r="U21" s="146" t="s">
        <v>329</v>
      </c>
      <c r="V21" s="146" t="s">
        <v>329</v>
      </c>
      <c r="W21" s="146" t="s">
        <v>329</v>
      </c>
      <c r="X21" s="146" t="s">
        <v>329</v>
      </c>
      <c r="Y21" s="146" t="s">
        <v>329</v>
      </c>
      <c r="Z21" s="146" t="s">
        <v>329</v>
      </c>
      <c r="AA21" s="146" t="s">
        <v>329</v>
      </c>
      <c r="AB21" s="146" t="s">
        <v>329</v>
      </c>
      <c r="AC21" s="146" t="s">
        <v>329</v>
      </c>
      <c r="AD21" s="146" t="s">
        <v>329</v>
      </c>
      <c r="AE21" s="146" t="s">
        <v>329</v>
      </c>
      <c r="AF21" s="146" t="s">
        <v>329</v>
      </c>
    </row>
    <row r="22" spans="1:32" s="130" customFormat="1" ht="11.25" x14ac:dyDescent="0.2">
      <c r="A22" s="137" t="str">
        <f t="shared" si="2"/>
        <v>Rektorát</v>
      </c>
      <c r="B22" s="138" t="s">
        <v>351</v>
      </c>
      <c r="C22" s="138"/>
      <c r="D22" s="139" t="s">
        <v>352</v>
      </c>
      <c r="E22" s="140">
        <v>98.44</v>
      </c>
      <c r="F22" s="141">
        <v>3</v>
      </c>
      <c r="G22" s="142">
        <v>2.2000000000000002</v>
      </c>
      <c r="H22" s="143" t="s">
        <v>329</v>
      </c>
      <c r="I22" s="143" t="s">
        <v>329</v>
      </c>
      <c r="J22" s="143" t="s">
        <v>329</v>
      </c>
      <c r="K22" s="144" t="s">
        <v>329</v>
      </c>
      <c r="L22" s="144" t="s">
        <v>329</v>
      </c>
      <c r="M22" s="145">
        <v>1294000</v>
      </c>
      <c r="N22" s="145">
        <v>92000</v>
      </c>
      <c r="O22" s="145"/>
      <c r="P22" s="146">
        <f t="shared" si="15"/>
        <v>1386000</v>
      </c>
      <c r="Q22" s="146">
        <f t="shared" si="16"/>
        <v>1386000</v>
      </c>
      <c r="R22" s="145"/>
      <c r="S22" s="154">
        <f t="shared" si="17"/>
        <v>1386000</v>
      </c>
      <c r="T22" s="146" t="s">
        <v>329</v>
      </c>
      <c r="U22" s="146" t="s">
        <v>329</v>
      </c>
      <c r="V22" s="146" t="s">
        <v>329</v>
      </c>
      <c r="W22" s="146" t="s">
        <v>329</v>
      </c>
      <c r="X22" s="146" t="s">
        <v>329</v>
      </c>
      <c r="Y22" s="146" t="s">
        <v>329</v>
      </c>
      <c r="Z22" s="146" t="s">
        <v>329</v>
      </c>
      <c r="AA22" s="146" t="s">
        <v>329</v>
      </c>
      <c r="AB22" s="146" t="s">
        <v>329</v>
      </c>
      <c r="AC22" s="146" t="s">
        <v>329</v>
      </c>
      <c r="AD22" s="146" t="s">
        <v>329</v>
      </c>
      <c r="AE22" s="146" t="s">
        <v>329</v>
      </c>
      <c r="AF22" s="146" t="s">
        <v>329</v>
      </c>
    </row>
    <row r="23" spans="1:32" s="130" customFormat="1" ht="11.25" x14ac:dyDescent="0.2">
      <c r="A23" s="137" t="str">
        <f t="shared" si="2"/>
        <v>Rektorát</v>
      </c>
      <c r="B23" s="138" t="s">
        <v>353</v>
      </c>
      <c r="C23" s="138"/>
      <c r="D23" s="139" t="s">
        <v>354</v>
      </c>
      <c r="E23" s="140">
        <v>93.44</v>
      </c>
      <c r="F23" s="141">
        <v>3</v>
      </c>
      <c r="G23" s="142">
        <v>3.0000000000000004</v>
      </c>
      <c r="H23" s="143" t="s">
        <v>329</v>
      </c>
      <c r="I23" s="143" t="s">
        <v>329</v>
      </c>
      <c r="J23" s="143" t="s">
        <v>329</v>
      </c>
      <c r="K23" s="144" t="s">
        <v>329</v>
      </c>
      <c r="L23" s="144" t="s">
        <v>329</v>
      </c>
      <c r="M23" s="145">
        <v>2102000</v>
      </c>
      <c r="N23" s="145">
        <v>1515000</v>
      </c>
      <c r="O23" s="145"/>
      <c r="P23" s="146">
        <f t="shared" ref="P23" si="18">SUM(M23:N23)</f>
        <v>3617000</v>
      </c>
      <c r="Q23" s="146">
        <f t="shared" ref="Q23" si="19">SUM(M23:N23)-O23</f>
        <v>3617000</v>
      </c>
      <c r="R23" s="145"/>
      <c r="S23" s="154">
        <f t="shared" si="17"/>
        <v>3617000</v>
      </c>
      <c r="T23" s="146" t="s">
        <v>329</v>
      </c>
      <c r="U23" s="146" t="s">
        <v>329</v>
      </c>
      <c r="V23" s="146" t="s">
        <v>329</v>
      </c>
      <c r="W23" s="146" t="s">
        <v>329</v>
      </c>
      <c r="X23" s="146" t="s">
        <v>329</v>
      </c>
      <c r="Y23" s="146" t="s">
        <v>329</v>
      </c>
      <c r="Z23" s="146" t="s">
        <v>329</v>
      </c>
      <c r="AA23" s="146" t="s">
        <v>329</v>
      </c>
      <c r="AB23" s="146" t="s">
        <v>329</v>
      </c>
      <c r="AC23" s="146" t="s">
        <v>329</v>
      </c>
      <c r="AD23" s="146" t="s">
        <v>329</v>
      </c>
      <c r="AE23" s="146" t="s">
        <v>329</v>
      </c>
      <c r="AF23" s="146" t="s">
        <v>329</v>
      </c>
    </row>
    <row r="24" spans="1:32" s="130" customFormat="1" ht="11.25" x14ac:dyDescent="0.2">
      <c r="A24" s="137" t="str">
        <f t="shared" si="2"/>
        <v>Rektorát</v>
      </c>
      <c r="B24" s="138" t="s">
        <v>355</v>
      </c>
      <c r="C24" s="138"/>
      <c r="D24" s="139" t="s">
        <v>356</v>
      </c>
      <c r="E24" s="140">
        <v>39.03</v>
      </c>
      <c r="F24" s="141">
        <v>0</v>
      </c>
      <c r="G24" s="142">
        <v>0</v>
      </c>
      <c r="H24" s="143" t="s">
        <v>329</v>
      </c>
      <c r="I24" s="143" t="s">
        <v>329</v>
      </c>
      <c r="J24" s="143" t="s">
        <v>329</v>
      </c>
      <c r="K24" s="144" t="s">
        <v>329</v>
      </c>
      <c r="L24" s="144" t="s">
        <v>329</v>
      </c>
      <c r="M24" s="155">
        <v>677000</v>
      </c>
      <c r="N24" s="155">
        <v>32000</v>
      </c>
      <c r="O24" s="145"/>
      <c r="P24" s="146">
        <f>SUM(M24:N24)</f>
        <v>709000</v>
      </c>
      <c r="Q24" s="146">
        <f>SUM(M24:N24)-O24</f>
        <v>709000</v>
      </c>
      <c r="R24" s="145"/>
      <c r="S24" s="154">
        <f>P24+R24</f>
        <v>709000</v>
      </c>
      <c r="T24" s="146" t="s">
        <v>329</v>
      </c>
      <c r="U24" s="146" t="s">
        <v>329</v>
      </c>
      <c r="V24" s="146" t="s">
        <v>329</v>
      </c>
      <c r="W24" s="146" t="s">
        <v>329</v>
      </c>
      <c r="X24" s="146" t="s">
        <v>329</v>
      </c>
      <c r="Y24" s="146" t="s">
        <v>329</v>
      </c>
      <c r="Z24" s="146" t="s">
        <v>329</v>
      </c>
      <c r="AA24" s="146" t="s">
        <v>329</v>
      </c>
      <c r="AB24" s="146" t="s">
        <v>329</v>
      </c>
      <c r="AC24" s="146" t="s">
        <v>329</v>
      </c>
      <c r="AD24" s="146" t="s">
        <v>329</v>
      </c>
      <c r="AE24" s="146" t="s">
        <v>329</v>
      </c>
      <c r="AF24" s="146" t="s">
        <v>329</v>
      </c>
    </row>
    <row r="25" spans="1:32" s="130" customFormat="1" ht="11.25" x14ac:dyDescent="0.2">
      <c r="A25" s="137" t="str">
        <f t="shared" si="2"/>
        <v>Rektorát</v>
      </c>
      <c r="B25" s="138" t="s">
        <v>357</v>
      </c>
      <c r="C25" s="138"/>
      <c r="D25" s="139" t="s">
        <v>358</v>
      </c>
      <c r="E25" s="140">
        <v>121.51</v>
      </c>
      <c r="F25" s="141">
        <v>3</v>
      </c>
      <c r="G25" s="142">
        <v>3.0916666666666663</v>
      </c>
      <c r="H25" s="143" t="s">
        <v>329</v>
      </c>
      <c r="I25" s="143" t="s">
        <v>329</v>
      </c>
      <c r="J25" s="143" t="s">
        <v>329</v>
      </c>
      <c r="K25" s="144" t="s">
        <v>329</v>
      </c>
      <c r="L25" s="144" t="s">
        <v>329</v>
      </c>
      <c r="M25" s="145">
        <v>1192800</v>
      </c>
      <c r="N25" s="145">
        <v>250000</v>
      </c>
      <c r="O25" s="145"/>
      <c r="P25" s="146">
        <f>SUM(M25:N25)</f>
        <v>1442800</v>
      </c>
      <c r="Q25" s="146">
        <f>SUM(M25:N25)-O25</f>
        <v>1442800</v>
      </c>
      <c r="R25" s="145"/>
      <c r="S25" s="154">
        <f>P25+R25</f>
        <v>1442800</v>
      </c>
      <c r="T25" s="146" t="s">
        <v>329</v>
      </c>
      <c r="U25" s="146" t="s">
        <v>329</v>
      </c>
      <c r="V25" s="146" t="s">
        <v>329</v>
      </c>
      <c r="W25" s="146" t="s">
        <v>329</v>
      </c>
      <c r="X25" s="146" t="s">
        <v>329</v>
      </c>
      <c r="Y25" s="146" t="s">
        <v>329</v>
      </c>
      <c r="Z25" s="146" t="s">
        <v>329</v>
      </c>
      <c r="AA25" s="146" t="s">
        <v>329</v>
      </c>
      <c r="AB25" s="146" t="s">
        <v>329</v>
      </c>
      <c r="AC25" s="146" t="s">
        <v>329</v>
      </c>
      <c r="AD25" s="146" t="s">
        <v>329</v>
      </c>
      <c r="AE25" s="146" t="s">
        <v>329</v>
      </c>
      <c r="AF25" s="146" t="s">
        <v>329</v>
      </c>
    </row>
    <row r="26" spans="1:32" s="130" customFormat="1" ht="11.25" x14ac:dyDescent="0.2">
      <c r="A26" s="137" t="str">
        <f t="shared" si="2"/>
        <v>Rektorát</v>
      </c>
      <c r="B26" s="138" t="s">
        <v>359</v>
      </c>
      <c r="C26" s="138"/>
      <c r="D26" s="139" t="s">
        <v>360</v>
      </c>
      <c r="E26" s="140">
        <v>135.36000000000001</v>
      </c>
      <c r="F26" s="141">
        <v>5</v>
      </c>
      <c r="G26" s="142">
        <v>5.8666666666666663</v>
      </c>
      <c r="H26" s="143" t="s">
        <v>329</v>
      </c>
      <c r="I26" s="143" t="s">
        <v>329</v>
      </c>
      <c r="J26" s="143" t="s">
        <v>329</v>
      </c>
      <c r="K26" s="144" t="s">
        <v>329</v>
      </c>
      <c r="L26" s="144" t="s">
        <v>329</v>
      </c>
      <c r="M26" s="145">
        <v>2001000</v>
      </c>
      <c r="N26" s="145">
        <v>394000</v>
      </c>
      <c r="O26" s="145"/>
      <c r="P26" s="146">
        <f t="shared" si="15"/>
        <v>2395000</v>
      </c>
      <c r="Q26" s="146">
        <f t="shared" si="16"/>
        <v>2395000</v>
      </c>
      <c r="R26" s="145"/>
      <c r="S26" s="154">
        <f t="shared" si="17"/>
        <v>2395000</v>
      </c>
      <c r="T26" s="146" t="s">
        <v>329</v>
      </c>
      <c r="U26" s="146" t="s">
        <v>329</v>
      </c>
      <c r="V26" s="146" t="s">
        <v>329</v>
      </c>
      <c r="W26" s="146" t="s">
        <v>329</v>
      </c>
      <c r="X26" s="146" t="s">
        <v>329</v>
      </c>
      <c r="Y26" s="146" t="s">
        <v>329</v>
      </c>
      <c r="Z26" s="146" t="s">
        <v>329</v>
      </c>
      <c r="AA26" s="146" t="s">
        <v>329</v>
      </c>
      <c r="AB26" s="146" t="s">
        <v>329</v>
      </c>
      <c r="AC26" s="146" t="s">
        <v>329</v>
      </c>
      <c r="AD26" s="146" t="s">
        <v>329</v>
      </c>
      <c r="AE26" s="146" t="s">
        <v>329</v>
      </c>
      <c r="AF26" s="146" t="s">
        <v>329</v>
      </c>
    </row>
    <row r="27" spans="1:32" s="130" customFormat="1" ht="11.25" x14ac:dyDescent="0.2">
      <c r="A27" s="137" t="str">
        <f t="shared" si="2"/>
        <v>Rektorát</v>
      </c>
      <c r="B27" s="138" t="s">
        <v>361</v>
      </c>
      <c r="C27" s="131"/>
      <c r="D27" s="139" t="s">
        <v>362</v>
      </c>
      <c r="E27" s="140">
        <v>187.46</v>
      </c>
      <c r="F27" s="150">
        <v>2</v>
      </c>
      <c r="G27" s="149">
        <v>2</v>
      </c>
      <c r="H27" s="143" t="s">
        <v>329</v>
      </c>
      <c r="I27" s="143" t="s">
        <v>329</v>
      </c>
      <c r="J27" s="143" t="s">
        <v>329</v>
      </c>
      <c r="K27" s="144" t="s">
        <v>329</v>
      </c>
      <c r="L27" s="144" t="s">
        <v>329</v>
      </c>
      <c r="M27" s="145">
        <v>784000</v>
      </c>
      <c r="N27" s="145">
        <v>11000</v>
      </c>
      <c r="O27" s="145"/>
      <c r="P27" s="146">
        <f t="shared" si="15"/>
        <v>795000</v>
      </c>
      <c r="Q27" s="146">
        <f t="shared" si="16"/>
        <v>795000</v>
      </c>
      <c r="R27" s="145"/>
      <c r="S27" s="154">
        <f t="shared" si="17"/>
        <v>795000</v>
      </c>
      <c r="T27" s="146" t="s">
        <v>329</v>
      </c>
      <c r="U27" s="146" t="s">
        <v>329</v>
      </c>
      <c r="V27" s="146" t="s">
        <v>329</v>
      </c>
      <c r="W27" s="146" t="s">
        <v>329</v>
      </c>
      <c r="X27" s="146" t="s">
        <v>329</v>
      </c>
      <c r="Y27" s="146" t="s">
        <v>329</v>
      </c>
      <c r="Z27" s="146" t="s">
        <v>329</v>
      </c>
      <c r="AA27" s="146" t="s">
        <v>329</v>
      </c>
      <c r="AB27" s="146" t="s">
        <v>329</v>
      </c>
      <c r="AC27" s="146" t="s">
        <v>329</v>
      </c>
      <c r="AD27" s="146" t="s">
        <v>329</v>
      </c>
      <c r="AE27" s="146" t="s">
        <v>329</v>
      </c>
      <c r="AF27" s="146" t="s">
        <v>329</v>
      </c>
    </row>
    <row r="28" spans="1:32" s="130" customFormat="1" ht="22.5" x14ac:dyDescent="0.2">
      <c r="A28" s="137" t="str">
        <f t="shared" si="2"/>
        <v>Rektorát</v>
      </c>
      <c r="B28" s="138" t="s">
        <v>363</v>
      </c>
      <c r="C28" s="131" t="s">
        <v>364</v>
      </c>
      <c r="D28" s="139" t="s">
        <v>365</v>
      </c>
      <c r="E28" s="142" t="s">
        <v>82</v>
      </c>
      <c r="F28" s="150" t="s">
        <v>329</v>
      </c>
      <c r="G28" s="149" t="s">
        <v>329</v>
      </c>
      <c r="H28" s="143" t="s">
        <v>329</v>
      </c>
      <c r="I28" s="143" t="s">
        <v>329</v>
      </c>
      <c r="J28" s="143" t="s">
        <v>329</v>
      </c>
      <c r="K28" s="144" t="s">
        <v>329</v>
      </c>
      <c r="L28" s="144" t="s">
        <v>329</v>
      </c>
      <c r="M28" s="145">
        <v>1082000</v>
      </c>
      <c r="N28" s="145">
        <v>11000</v>
      </c>
      <c r="O28" s="145">
        <v>11000</v>
      </c>
      <c r="P28" s="146">
        <f t="shared" si="15"/>
        <v>1093000</v>
      </c>
      <c r="Q28" s="146">
        <f t="shared" si="16"/>
        <v>1082000</v>
      </c>
      <c r="R28" s="145"/>
      <c r="S28" s="154">
        <f t="shared" si="17"/>
        <v>1093000</v>
      </c>
      <c r="T28" s="146" t="s">
        <v>329</v>
      </c>
      <c r="U28" s="146" t="s">
        <v>329</v>
      </c>
      <c r="V28" s="146" t="s">
        <v>329</v>
      </c>
      <c r="W28" s="146" t="s">
        <v>329</v>
      </c>
      <c r="X28" s="146" t="s">
        <v>329</v>
      </c>
      <c r="Y28" s="146" t="s">
        <v>329</v>
      </c>
      <c r="Z28" s="146" t="s">
        <v>329</v>
      </c>
      <c r="AA28" s="146" t="s">
        <v>329</v>
      </c>
      <c r="AB28" s="146" t="s">
        <v>329</v>
      </c>
      <c r="AC28" s="146" t="s">
        <v>329</v>
      </c>
      <c r="AD28" s="146" t="s">
        <v>329</v>
      </c>
      <c r="AE28" s="146" t="s">
        <v>329</v>
      </c>
      <c r="AF28" s="146" t="s">
        <v>329</v>
      </c>
    </row>
    <row r="29" spans="1:32" s="130" customFormat="1" ht="11.25" x14ac:dyDescent="0.2">
      <c r="A29" s="137"/>
      <c r="B29" s="138"/>
      <c r="C29" s="138"/>
      <c r="D29" s="139"/>
      <c r="F29" s="150"/>
      <c r="G29" s="149"/>
      <c r="H29" s="143"/>
      <c r="I29" s="143"/>
      <c r="J29" s="143"/>
      <c r="K29" s="144"/>
      <c r="L29" s="144"/>
      <c r="M29" s="145"/>
      <c r="N29" s="145"/>
      <c r="O29" s="145"/>
      <c r="P29" s="146">
        <f t="shared" si="15"/>
        <v>0</v>
      </c>
      <c r="Q29" s="146"/>
      <c r="R29" s="145"/>
      <c r="S29" s="154">
        <f t="shared" si="17"/>
        <v>0</v>
      </c>
      <c r="T29" s="146" t="s">
        <v>329</v>
      </c>
      <c r="U29" s="146" t="s">
        <v>329</v>
      </c>
      <c r="V29" s="146" t="s">
        <v>329</v>
      </c>
      <c r="W29" s="146" t="s">
        <v>329</v>
      </c>
      <c r="X29" s="146" t="s">
        <v>329</v>
      </c>
      <c r="Y29" s="146" t="s">
        <v>329</v>
      </c>
      <c r="Z29" s="146" t="s">
        <v>329</v>
      </c>
      <c r="AA29" s="146" t="s">
        <v>329</v>
      </c>
      <c r="AB29" s="146" t="s">
        <v>329</v>
      </c>
      <c r="AC29" s="146" t="s">
        <v>329</v>
      </c>
      <c r="AD29" s="146" t="s">
        <v>329</v>
      </c>
      <c r="AE29" s="146" t="s">
        <v>329</v>
      </c>
      <c r="AF29" s="146" t="s">
        <v>329</v>
      </c>
    </row>
    <row r="30" spans="1:32" s="130" customFormat="1" ht="11.25" x14ac:dyDescent="0.2">
      <c r="A30" s="137" t="str">
        <f t="shared" si="2"/>
        <v>Rektorát</v>
      </c>
      <c r="B30" s="137" t="s">
        <v>366</v>
      </c>
      <c r="C30" s="137"/>
      <c r="D30" s="151"/>
      <c r="E30" s="144">
        <f>SUM(E17:E29)</f>
        <v>1758.71</v>
      </c>
      <c r="F30" s="144">
        <f>SUM(F17:F28)</f>
        <v>64</v>
      </c>
      <c r="G30" s="144">
        <f>SUM(G17:G28)</f>
        <v>57.145833333333343</v>
      </c>
      <c r="H30" s="143"/>
      <c r="I30" s="143"/>
      <c r="J30" s="143"/>
      <c r="K30" s="144"/>
      <c r="L30" s="144"/>
      <c r="M30" s="146">
        <f>SUM(M17:M29)</f>
        <v>22268500</v>
      </c>
      <c r="N30" s="146">
        <f>SUM(N17:N28)</f>
        <v>8196000</v>
      </c>
      <c r="O30" s="146">
        <f>SUM(O17:O29)</f>
        <v>11000</v>
      </c>
      <c r="P30" s="146">
        <f>SUM(P17:P28)</f>
        <v>30464500</v>
      </c>
      <c r="Q30" s="146">
        <f>SUM(Q17:Q28)</f>
        <v>30453500</v>
      </c>
      <c r="R30" s="146">
        <f>SUM(R17:R28)</f>
        <v>0</v>
      </c>
      <c r="S30" s="154">
        <f>SUM(S17:S28)</f>
        <v>30464500</v>
      </c>
      <c r="T30" s="146" t="s">
        <v>329</v>
      </c>
      <c r="U30" s="148">
        <f>$T$7/SUM($E$55-$E$7-$E$53-$E$34)*E30</f>
        <v>4349695.2065075999</v>
      </c>
      <c r="V30" s="146" t="s">
        <v>329</v>
      </c>
      <c r="W30" s="152">
        <f>$V$11/SUM($F$55-$F$7-$F$11+$H$55+$I$55*0.5)*SUM(F30)</f>
        <v>97971.372337420675</v>
      </c>
      <c r="X30" s="146" t="s">
        <v>329</v>
      </c>
      <c r="Y30" s="153">
        <f>$X$15/SUM($G$55-$G$7-$G$11-$G$15)*G30</f>
        <v>275965.01141075639</v>
      </c>
      <c r="Z30" s="154">
        <f>S30+U30+W30+Y30</f>
        <v>35188131.590255782</v>
      </c>
      <c r="AA30" s="146" t="s">
        <v>329</v>
      </c>
      <c r="AB30" s="146" t="s">
        <v>329</v>
      </c>
      <c r="AC30" s="146" t="s">
        <v>329</v>
      </c>
      <c r="AD30" s="146" t="s">
        <v>329</v>
      </c>
      <c r="AE30" s="146" t="s">
        <v>329</v>
      </c>
      <c r="AF30" s="146" t="s">
        <v>329</v>
      </c>
    </row>
    <row r="31" spans="1:32" s="130" customFormat="1" ht="11.25" x14ac:dyDescent="0.2">
      <c r="A31" s="131"/>
      <c r="B31" s="132" t="s">
        <v>367</v>
      </c>
      <c r="C31" s="132"/>
      <c r="D31" s="133"/>
      <c r="E31" s="134"/>
      <c r="F31" s="135"/>
      <c r="G31" s="134"/>
      <c r="H31" s="135"/>
      <c r="I31" s="135"/>
      <c r="J31" s="135"/>
      <c r="K31" s="134"/>
      <c r="L31" s="134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</row>
    <row r="32" spans="1:32" s="130" customFormat="1" ht="11.25" x14ac:dyDescent="0.2">
      <c r="A32" s="137" t="s">
        <v>325</v>
      </c>
      <c r="B32" s="138" t="s">
        <v>368</v>
      </c>
      <c r="C32" s="138"/>
      <c r="D32" s="139" t="s">
        <v>369</v>
      </c>
      <c r="E32" s="140">
        <v>5436.09</v>
      </c>
      <c r="F32" s="141">
        <v>33</v>
      </c>
      <c r="G32" s="142">
        <v>32.834999999999994</v>
      </c>
      <c r="H32" s="143" t="s">
        <v>329</v>
      </c>
      <c r="I32" s="143" t="s">
        <v>329</v>
      </c>
      <c r="J32" s="141"/>
      <c r="K32" s="142"/>
      <c r="L32" s="142">
        <v>0</v>
      </c>
      <c r="M32" s="145">
        <v>9549400</v>
      </c>
      <c r="N32" s="145">
        <v>5959000</v>
      </c>
      <c r="O32" s="145">
        <v>650000</v>
      </c>
      <c r="P32" s="146">
        <f>M32+N32</f>
        <v>15508400</v>
      </c>
      <c r="Q32" s="146">
        <f t="shared" ref="Q32:Q33" si="20">SUM(M32:N32)-O32</f>
        <v>14858400</v>
      </c>
      <c r="R32" s="145"/>
      <c r="S32" s="156">
        <f t="shared" ref="S32:S33" si="21">P32+R32</f>
        <v>15508400</v>
      </c>
      <c r="T32" s="146" t="s">
        <v>329</v>
      </c>
      <c r="U32" s="146" t="s">
        <v>329</v>
      </c>
      <c r="V32" s="146" t="s">
        <v>329</v>
      </c>
      <c r="W32" s="146" t="s">
        <v>329</v>
      </c>
      <c r="X32" s="146" t="s">
        <v>329</v>
      </c>
      <c r="Y32" s="146" t="s">
        <v>329</v>
      </c>
      <c r="Z32" s="146" t="s">
        <v>329</v>
      </c>
      <c r="AA32" s="146" t="s">
        <v>329</v>
      </c>
      <c r="AB32" s="146" t="s">
        <v>329</v>
      </c>
      <c r="AC32" s="146" t="s">
        <v>329</v>
      </c>
      <c r="AD32" s="146" t="s">
        <v>329</v>
      </c>
      <c r="AE32" s="146" t="s">
        <v>329</v>
      </c>
      <c r="AF32" s="146" t="s">
        <v>329</v>
      </c>
    </row>
    <row r="33" spans="1:34" s="130" customFormat="1" ht="11.25" x14ac:dyDescent="0.2">
      <c r="A33" s="137" t="s">
        <v>325</v>
      </c>
      <c r="B33" s="138"/>
      <c r="C33" s="138"/>
      <c r="D33" s="139"/>
      <c r="E33" s="149"/>
      <c r="F33" s="141"/>
      <c r="G33" s="142"/>
      <c r="H33" s="143" t="s">
        <v>329</v>
      </c>
      <c r="I33" s="143" t="s">
        <v>329</v>
      </c>
      <c r="J33" s="141"/>
      <c r="K33" s="142"/>
      <c r="L33" s="142"/>
      <c r="M33" s="145"/>
      <c r="N33" s="145"/>
      <c r="O33" s="145"/>
      <c r="P33" s="146">
        <f t="shared" ref="P33" si="22">M33+N33</f>
        <v>0</v>
      </c>
      <c r="Q33" s="146">
        <f t="shared" si="20"/>
        <v>0</v>
      </c>
      <c r="R33" s="145"/>
      <c r="S33" s="156">
        <f t="shared" si="21"/>
        <v>0</v>
      </c>
      <c r="T33" s="146" t="s">
        <v>329</v>
      </c>
      <c r="U33" s="146" t="s">
        <v>329</v>
      </c>
      <c r="V33" s="146" t="s">
        <v>329</v>
      </c>
      <c r="W33" s="146" t="s">
        <v>329</v>
      </c>
      <c r="X33" s="146" t="s">
        <v>329</v>
      </c>
      <c r="Y33" s="146" t="s">
        <v>329</v>
      </c>
      <c r="Z33" s="146" t="s">
        <v>329</v>
      </c>
      <c r="AA33" s="146" t="s">
        <v>329</v>
      </c>
      <c r="AB33" s="146" t="s">
        <v>329</v>
      </c>
      <c r="AC33" s="146" t="s">
        <v>329</v>
      </c>
      <c r="AD33" s="146" t="s">
        <v>329</v>
      </c>
      <c r="AE33" s="146" t="s">
        <v>329</v>
      </c>
      <c r="AF33" s="146" t="s">
        <v>329</v>
      </c>
    </row>
    <row r="34" spans="1:34" s="130" customFormat="1" ht="11.25" x14ac:dyDescent="0.2">
      <c r="A34" s="137" t="s">
        <v>325</v>
      </c>
      <c r="B34" s="137" t="s">
        <v>370</v>
      </c>
      <c r="C34" s="137"/>
      <c r="D34" s="151"/>
      <c r="E34" s="144">
        <f>SUM(E32:E33)</f>
        <v>5436.09</v>
      </c>
      <c r="F34" s="144">
        <f>SUM(F32:F33)</f>
        <v>33</v>
      </c>
      <c r="G34" s="144">
        <f>SUM(G32:G33)</f>
        <v>32.834999999999994</v>
      </c>
      <c r="H34" s="143"/>
      <c r="I34" s="143"/>
      <c r="J34" s="143"/>
      <c r="K34" s="144"/>
      <c r="L34" s="144">
        <f>SUM(L32:L33)</f>
        <v>0</v>
      </c>
      <c r="M34" s="146">
        <f t="shared" ref="M34:S34" si="23">SUM(M32:M33)</f>
        <v>9549400</v>
      </c>
      <c r="N34" s="146">
        <f t="shared" si="23"/>
        <v>5959000</v>
      </c>
      <c r="O34" s="146">
        <f t="shared" si="23"/>
        <v>650000</v>
      </c>
      <c r="P34" s="146">
        <f t="shared" si="23"/>
        <v>15508400</v>
      </c>
      <c r="Q34" s="146">
        <f t="shared" si="23"/>
        <v>14858400</v>
      </c>
      <c r="R34" s="146">
        <f t="shared" si="23"/>
        <v>0</v>
      </c>
      <c r="S34" s="156">
        <f t="shared" si="23"/>
        <v>15508400</v>
      </c>
      <c r="T34" s="146" t="s">
        <v>329</v>
      </c>
      <c r="U34" s="148" t="s">
        <v>329</v>
      </c>
      <c r="V34" s="146" t="s">
        <v>329</v>
      </c>
      <c r="W34" s="152">
        <f>$V$11/SUM($F$55-$F$7-$F$11+$H$55+$I$55*0.5)*SUM(F34)</f>
        <v>50516.488861482532</v>
      </c>
      <c r="X34" s="146" t="s">
        <v>329</v>
      </c>
      <c r="Y34" s="153">
        <f>$X$15/SUM($G$55-$G$7-$G$11-$G$15)*G34</f>
        <v>158564.68654183915</v>
      </c>
      <c r="Z34" s="146" t="s">
        <v>329</v>
      </c>
      <c r="AA34" s="154">
        <f>$Z$30/SUM($G$34+$G$39+$G$53)*G34</f>
        <v>937653.65025311091</v>
      </c>
      <c r="AB34" s="157">
        <f>S34+W34+Y34+AA34</f>
        <v>16655134.825656433</v>
      </c>
      <c r="AC34" s="146" t="s">
        <v>329</v>
      </c>
      <c r="AD34" s="146"/>
      <c r="AE34" s="146" t="s">
        <v>329</v>
      </c>
      <c r="AF34" s="146" t="s">
        <v>329</v>
      </c>
    </row>
    <row r="35" spans="1:34" s="130" customFormat="1" ht="11.25" x14ac:dyDescent="0.2">
      <c r="A35" s="131"/>
      <c r="B35" s="132" t="s">
        <v>371</v>
      </c>
      <c r="C35" s="132"/>
      <c r="D35" s="133"/>
      <c r="E35" s="134"/>
      <c r="F35" s="135"/>
      <c r="G35" s="134"/>
      <c r="H35" s="135"/>
      <c r="I35" s="135"/>
      <c r="J35" s="135"/>
      <c r="K35" s="134"/>
      <c r="L35" s="134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</row>
    <row r="36" spans="1:34" s="130" customFormat="1" ht="22.5" x14ac:dyDescent="0.2">
      <c r="A36" s="137" t="str">
        <f t="shared" ref="A36:A38" si="24">$A$4</f>
        <v>Rektorát</v>
      </c>
      <c r="B36" s="138" t="s">
        <v>372</v>
      </c>
      <c r="C36" s="138" t="s">
        <v>373</v>
      </c>
      <c r="D36" s="139" t="s">
        <v>374</v>
      </c>
      <c r="E36" s="140">
        <v>58.14</v>
      </c>
      <c r="F36" s="141">
        <v>3</v>
      </c>
      <c r="G36" s="142">
        <v>2.25</v>
      </c>
      <c r="H36" s="143" t="s">
        <v>329</v>
      </c>
      <c r="I36" s="143" t="s">
        <v>329</v>
      </c>
      <c r="J36" s="141"/>
      <c r="K36" s="142"/>
      <c r="L36" s="158">
        <v>0</v>
      </c>
      <c r="M36" s="145">
        <v>1114400</v>
      </c>
      <c r="N36" s="145">
        <v>48000</v>
      </c>
      <c r="O36" s="145"/>
      <c r="P36" s="146">
        <f>SUM(M36:N36)</f>
        <v>1162400</v>
      </c>
      <c r="Q36" s="146">
        <f>SUM(M36:N36)-O36</f>
        <v>1162400</v>
      </c>
      <c r="R36" s="145"/>
      <c r="S36" s="154">
        <f>P36+R36</f>
        <v>1162400</v>
      </c>
      <c r="T36" s="146" t="s">
        <v>329</v>
      </c>
      <c r="U36" s="146" t="s">
        <v>329</v>
      </c>
      <c r="V36" s="146" t="s">
        <v>329</v>
      </c>
      <c r="W36" s="146" t="s">
        <v>329</v>
      </c>
      <c r="X36" s="146" t="s">
        <v>329</v>
      </c>
      <c r="Y36" s="146" t="s">
        <v>329</v>
      </c>
      <c r="Z36" s="146" t="s">
        <v>329</v>
      </c>
      <c r="AA36" s="146" t="s">
        <v>329</v>
      </c>
      <c r="AB36" s="146" t="s">
        <v>329</v>
      </c>
      <c r="AC36" s="146" t="s">
        <v>329</v>
      </c>
      <c r="AD36" s="146" t="s">
        <v>329</v>
      </c>
      <c r="AE36" s="146" t="s">
        <v>329</v>
      </c>
      <c r="AF36" s="146" t="s">
        <v>329</v>
      </c>
    </row>
    <row r="37" spans="1:34" s="130" customFormat="1" ht="11.25" x14ac:dyDescent="0.2">
      <c r="A37" s="137" t="s">
        <v>325</v>
      </c>
      <c r="B37" s="138" t="s">
        <v>375</v>
      </c>
      <c r="C37" s="138"/>
      <c r="D37" s="139"/>
      <c r="E37" s="140"/>
      <c r="F37" s="141"/>
      <c r="G37" s="142"/>
      <c r="H37" s="143" t="s">
        <v>329</v>
      </c>
      <c r="I37" s="143" t="s">
        <v>329</v>
      </c>
      <c r="J37" s="141"/>
      <c r="K37" s="142"/>
      <c r="L37" s="158"/>
      <c r="M37" s="145">
        <v>11975040</v>
      </c>
      <c r="N37" s="145">
        <v>5431000</v>
      </c>
      <c r="O37" s="145"/>
      <c r="P37" s="146">
        <f>M37+N37</f>
        <v>17406040</v>
      </c>
      <c r="Q37" s="146">
        <f t="shared" ref="Q37:Q38" si="25">SUM(M37:N37)-O37</f>
        <v>17406040</v>
      </c>
      <c r="R37" s="145"/>
      <c r="S37" s="154">
        <f>P37+R37</f>
        <v>17406040</v>
      </c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4" s="130" customFormat="1" ht="11.25" x14ac:dyDescent="0.2">
      <c r="A38" s="137" t="str">
        <f t="shared" si="24"/>
        <v>Rektorát</v>
      </c>
      <c r="B38" s="138" t="s">
        <v>376</v>
      </c>
      <c r="C38" s="138"/>
      <c r="D38" s="139" t="s">
        <v>377</v>
      </c>
      <c r="E38" s="140">
        <v>93.21</v>
      </c>
      <c r="F38" s="141">
        <v>4</v>
      </c>
      <c r="G38" s="142">
        <v>4.1941666666666668</v>
      </c>
      <c r="H38" s="143" t="s">
        <v>329</v>
      </c>
      <c r="I38" s="143" t="s">
        <v>329</v>
      </c>
      <c r="J38" s="141"/>
      <c r="K38" s="142"/>
      <c r="L38" s="142"/>
      <c r="M38" s="145">
        <v>0</v>
      </c>
      <c r="N38" s="145">
        <v>0</v>
      </c>
      <c r="O38" s="145"/>
      <c r="P38" s="146">
        <f t="shared" ref="P38" si="26">M38+N38</f>
        <v>0</v>
      </c>
      <c r="Q38" s="146">
        <f t="shared" si="25"/>
        <v>0</v>
      </c>
      <c r="R38" s="145"/>
      <c r="S38" s="156">
        <f t="shared" ref="S38" si="27">P38+R38</f>
        <v>0</v>
      </c>
      <c r="T38" s="146" t="s">
        <v>329</v>
      </c>
      <c r="U38" s="146" t="s">
        <v>329</v>
      </c>
      <c r="V38" s="146" t="s">
        <v>329</v>
      </c>
      <c r="W38" s="146" t="s">
        <v>329</v>
      </c>
      <c r="X38" s="146" t="s">
        <v>329</v>
      </c>
      <c r="Y38" s="146" t="s">
        <v>329</v>
      </c>
      <c r="Z38" s="146" t="s">
        <v>329</v>
      </c>
      <c r="AA38" s="146" t="s">
        <v>329</v>
      </c>
      <c r="AB38" s="146" t="s">
        <v>329</v>
      </c>
      <c r="AC38" s="146" t="s">
        <v>329</v>
      </c>
      <c r="AD38" s="146" t="s">
        <v>329</v>
      </c>
      <c r="AE38" s="146" t="s">
        <v>329</v>
      </c>
      <c r="AF38" s="146" t="s">
        <v>329</v>
      </c>
    </row>
    <row r="39" spans="1:34" s="130" customFormat="1" ht="11.25" x14ac:dyDescent="0.2">
      <c r="A39" s="137" t="str">
        <f t="shared" si="2"/>
        <v>Rektorát</v>
      </c>
      <c r="B39" s="137" t="s">
        <v>378</v>
      </c>
      <c r="C39" s="137"/>
      <c r="D39" s="151"/>
      <c r="E39" s="144">
        <f>SUM(E36:E38)</f>
        <v>151.35</v>
      </c>
      <c r="F39" s="144">
        <f>SUM(F36:F38)</f>
        <v>7</v>
      </c>
      <c r="G39" s="144">
        <f>SUM(G36:G38)</f>
        <v>6.4441666666666668</v>
      </c>
      <c r="H39" s="143"/>
      <c r="I39" s="143"/>
      <c r="J39" s="143"/>
      <c r="K39" s="144"/>
      <c r="L39" s="144">
        <f>SUM(L36:L38)</f>
        <v>0</v>
      </c>
      <c r="M39" s="146">
        <f>SUM(M36:M38)</f>
        <v>13089440</v>
      </c>
      <c r="N39" s="146">
        <f t="shared" ref="N39:Z39" si="28">SUM(N36:N38)</f>
        <v>5479000</v>
      </c>
      <c r="O39" s="146">
        <f t="shared" si="28"/>
        <v>0</v>
      </c>
      <c r="P39" s="146">
        <f t="shared" si="28"/>
        <v>18568440</v>
      </c>
      <c r="Q39" s="146">
        <f t="shared" si="28"/>
        <v>18568440</v>
      </c>
      <c r="R39" s="146">
        <f t="shared" si="28"/>
        <v>0</v>
      </c>
      <c r="S39" s="156">
        <f t="shared" si="28"/>
        <v>18568440</v>
      </c>
      <c r="T39" s="146">
        <f t="shared" si="28"/>
        <v>0</v>
      </c>
      <c r="U39" s="148">
        <f>$T$7/SUM($E$55-$E$7-$E$53-$E$34)*E39</f>
        <v>374323.43564597075</v>
      </c>
      <c r="V39" s="146">
        <f t="shared" si="28"/>
        <v>0</v>
      </c>
      <c r="W39" s="152">
        <f>$V$11/SUM($F$55-$F$7-$F$11+$H$55+$I$55*0.5)*SUM(F39)</f>
        <v>10715.618849405386</v>
      </c>
      <c r="X39" s="146">
        <f t="shared" si="28"/>
        <v>0</v>
      </c>
      <c r="Y39" s="153">
        <f>$X$15/SUM($G$55-$G$7-$G$11-$G$15)*G39</f>
        <v>31119.758413990214</v>
      </c>
      <c r="Z39" s="146">
        <f t="shared" si="28"/>
        <v>0</v>
      </c>
      <c r="AA39" s="154">
        <f>$Z$30/SUM($G$34+$G$39+$G$53)*G39</f>
        <v>184023.03632829068</v>
      </c>
      <c r="AB39" s="146">
        <f t="shared" ref="AB39" si="29">SUM(AB36:AB38)</f>
        <v>0</v>
      </c>
      <c r="AC39" s="157" t="s">
        <v>329</v>
      </c>
      <c r="AD39" s="156">
        <f>S39+U39+W39+Y39+AA39</f>
        <v>19168621.849237654</v>
      </c>
      <c r="AE39" s="146" t="s">
        <v>329</v>
      </c>
      <c r="AF39" s="146" t="s">
        <v>329</v>
      </c>
    </row>
    <row r="40" spans="1:34" s="130" customFormat="1" ht="11.25" x14ac:dyDescent="0.2">
      <c r="A40" s="137" t="s">
        <v>325</v>
      </c>
      <c r="B40" s="137" t="s">
        <v>379</v>
      </c>
      <c r="C40" s="137"/>
      <c r="D40" s="151"/>
      <c r="E40" s="144">
        <f>E7+E11+E15+E30+E34+E39</f>
        <v>8800.99</v>
      </c>
      <c r="F40" s="144">
        <f>F7+F11+F15+F30+F34+F39</f>
        <v>135</v>
      </c>
      <c r="G40" s="144">
        <f>G7+G11+G15+G30+G34+G39</f>
        <v>124.50583333333333</v>
      </c>
      <c r="H40" s="143"/>
      <c r="I40" s="143"/>
      <c r="J40" s="143"/>
      <c r="K40" s="144"/>
      <c r="L40" s="144"/>
      <c r="M40" s="146">
        <f t="shared" ref="M40:S40" si="30">M7+M11+M15+M30+M34+M39</f>
        <v>55648000</v>
      </c>
      <c r="N40" s="146">
        <f t="shared" si="30"/>
        <v>35279000</v>
      </c>
      <c r="O40" s="146">
        <f t="shared" si="30"/>
        <v>2900000</v>
      </c>
      <c r="P40" s="146">
        <f t="shared" si="30"/>
        <v>90927000</v>
      </c>
      <c r="Q40" s="146">
        <f t="shared" si="30"/>
        <v>88027000</v>
      </c>
      <c r="R40" s="146">
        <f t="shared" si="30"/>
        <v>0</v>
      </c>
      <c r="S40" s="156">
        <f t="shared" si="30"/>
        <v>90927000</v>
      </c>
      <c r="T40" s="146"/>
      <c r="U40" s="148"/>
      <c r="V40" s="146"/>
      <c r="W40" s="152"/>
      <c r="X40" s="146"/>
      <c r="Y40" s="153"/>
      <c r="Z40" s="146"/>
      <c r="AA40" s="154"/>
      <c r="AB40" s="146"/>
      <c r="AC40" s="157"/>
      <c r="AD40" s="156"/>
      <c r="AE40" s="146"/>
      <c r="AF40" s="146"/>
    </row>
    <row r="41" spans="1:34" s="130" customFormat="1" ht="33.75" x14ac:dyDescent="0.2">
      <c r="A41" s="131"/>
      <c r="B41" s="132" t="s">
        <v>380</v>
      </c>
      <c r="C41" s="132"/>
      <c r="D41" s="133"/>
      <c r="E41" s="134"/>
      <c r="F41" s="134"/>
      <c r="G41" s="134"/>
      <c r="H41" s="135"/>
      <c r="I41" s="135"/>
      <c r="J41" s="135"/>
      <c r="K41" s="134"/>
      <c r="L41" s="134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</row>
    <row r="42" spans="1:34" s="130" customFormat="1" ht="11.25" x14ac:dyDescent="0.2">
      <c r="A42" s="137"/>
      <c r="B42" s="131" t="s">
        <v>204</v>
      </c>
      <c r="C42" s="138"/>
      <c r="D42" s="139" t="s">
        <v>381</v>
      </c>
      <c r="E42" s="142" t="s">
        <v>82</v>
      </c>
      <c r="F42" s="141"/>
      <c r="G42" s="142"/>
      <c r="H42" s="143"/>
      <c r="I42" s="143"/>
      <c r="J42" s="143"/>
      <c r="K42" s="144"/>
      <c r="L42" s="144"/>
      <c r="M42" s="147"/>
      <c r="N42" s="147"/>
      <c r="O42" s="147"/>
      <c r="P42" s="146">
        <f>M42+N42</f>
        <v>0</v>
      </c>
      <c r="Q42" s="146">
        <f t="shared" ref="Q42:Q52" si="31">SUM(M42:N42)-O42</f>
        <v>0</v>
      </c>
      <c r="R42" s="145"/>
      <c r="S42" s="146">
        <f t="shared" ref="S42:S52" si="32">P42+R42</f>
        <v>0</v>
      </c>
      <c r="T42" s="146" t="s">
        <v>329</v>
      </c>
      <c r="U42" s="148"/>
      <c r="V42" s="146" t="s">
        <v>329</v>
      </c>
      <c r="W42" s="152">
        <f>$V$11/SUM($F$55-$F$7-$F$11+$H$55+$I$55*0.5)*SUM(F42)</f>
        <v>0</v>
      </c>
      <c r="X42" s="146" t="s">
        <v>329</v>
      </c>
      <c r="Y42" s="153">
        <f t="shared" ref="Y42:Y52" si="33">$X$15/SUM($G$55-$G$7-$G$11-$G$15)*G42</f>
        <v>0</v>
      </c>
      <c r="Z42" s="146" t="s">
        <v>329</v>
      </c>
      <c r="AA42" s="154">
        <f t="shared" ref="AA42:AA52" si="34">$Z$30/SUM($G$34+$G$39+$G$53)*G42</f>
        <v>0</v>
      </c>
      <c r="AB42" s="146" t="s">
        <v>329</v>
      </c>
      <c r="AC42" s="157">
        <f t="shared" ref="AC42:AC51" si="35">$AB$34/SUM(($F$53-$F$52),$H$53,$I$53*0.5)*SUM(F42,H42,I42*0.5)</f>
        <v>0</v>
      </c>
      <c r="AD42" s="146" t="s">
        <v>329</v>
      </c>
      <c r="AE42" s="156" t="s">
        <v>329</v>
      </c>
      <c r="AF42" s="146">
        <f>SUM(Q42,U42,W42,Y42,AA42,AC42,AE42)</f>
        <v>0</v>
      </c>
    </row>
    <row r="43" spans="1:34" s="130" customFormat="1" ht="11.25" x14ac:dyDescent="0.2">
      <c r="A43" s="137"/>
      <c r="B43" s="131" t="s">
        <v>206</v>
      </c>
      <c r="C43" s="138"/>
      <c r="D43" s="139" t="s">
        <v>382</v>
      </c>
      <c r="E43" s="142" t="s">
        <v>82</v>
      </c>
      <c r="F43" s="141"/>
      <c r="G43" s="142"/>
      <c r="H43" s="143"/>
      <c r="I43" s="143"/>
      <c r="J43" s="143"/>
      <c r="K43" s="144"/>
      <c r="L43" s="144"/>
      <c r="M43" s="147"/>
      <c r="N43" s="147"/>
      <c r="O43" s="147"/>
      <c r="P43" s="146">
        <f t="shared" ref="P43:P51" si="36">M43+N43</f>
        <v>0</v>
      </c>
      <c r="Q43" s="146">
        <f t="shared" si="31"/>
        <v>0</v>
      </c>
      <c r="R43" s="145"/>
      <c r="S43" s="146">
        <f t="shared" si="32"/>
        <v>0</v>
      </c>
      <c r="T43" s="146" t="s">
        <v>329</v>
      </c>
      <c r="U43" s="148"/>
      <c r="V43" s="146" t="s">
        <v>329</v>
      </c>
      <c r="W43" s="152">
        <f>$V$11/SUM($F$55-$F$7-$F$11+$H$55+$I$55*0.5)*SUM(F43)</f>
        <v>0</v>
      </c>
      <c r="X43" s="146" t="s">
        <v>329</v>
      </c>
      <c r="Y43" s="153">
        <f t="shared" si="33"/>
        <v>0</v>
      </c>
      <c r="Z43" s="146" t="s">
        <v>329</v>
      </c>
      <c r="AA43" s="154">
        <f t="shared" si="34"/>
        <v>0</v>
      </c>
      <c r="AB43" s="146" t="s">
        <v>329</v>
      </c>
      <c r="AC43" s="157">
        <f t="shared" si="35"/>
        <v>0</v>
      </c>
      <c r="AD43" s="146" t="s">
        <v>329</v>
      </c>
      <c r="AE43" s="156" t="s">
        <v>329</v>
      </c>
      <c r="AF43" s="146">
        <f t="shared" ref="AF43:AF52" si="37">SUM(Q43,U43,W43,Y43,AA43,AC43,AE43)</f>
        <v>0</v>
      </c>
    </row>
    <row r="44" spans="1:34" s="130" customFormat="1" ht="11.25" x14ac:dyDescent="0.2">
      <c r="A44" s="137"/>
      <c r="B44" s="138" t="s">
        <v>55</v>
      </c>
      <c r="C44" s="138"/>
      <c r="D44" s="139" t="s">
        <v>383</v>
      </c>
      <c r="E44" s="140" t="s">
        <v>82</v>
      </c>
      <c r="F44" s="141">
        <v>125</v>
      </c>
      <c r="G44" s="142">
        <v>110.54300000000001</v>
      </c>
      <c r="H44" s="141">
        <v>1111</v>
      </c>
      <c r="I44" s="141">
        <v>360</v>
      </c>
      <c r="J44" s="141">
        <v>8</v>
      </c>
      <c r="K44" s="142">
        <v>4530.3900000000003</v>
      </c>
      <c r="L44" s="142">
        <v>0.27200000000000002</v>
      </c>
      <c r="M44" s="145"/>
      <c r="N44" s="145"/>
      <c r="O44" s="145"/>
      <c r="P44" s="146">
        <f t="shared" si="36"/>
        <v>0</v>
      </c>
      <c r="Q44" s="146">
        <f t="shared" si="31"/>
        <v>0</v>
      </c>
      <c r="R44" s="145"/>
      <c r="S44" s="146">
        <f t="shared" si="32"/>
        <v>0</v>
      </c>
      <c r="T44" s="146" t="s">
        <v>329</v>
      </c>
      <c r="U44" s="148"/>
      <c r="V44" s="146" t="s">
        <v>329</v>
      </c>
      <c r="W44" s="152">
        <f t="shared" ref="W44:W52" si="38">$V$11/SUM($F$55-$F$7-$F$11+$H$55+$I$55*0.5)*SUM(F44+H44+I44*0.5)</f>
        <v>2167616.6129654325</v>
      </c>
      <c r="X44" s="146" t="s">
        <v>329</v>
      </c>
      <c r="Y44" s="153">
        <f t="shared" si="33"/>
        <v>533827.20098658535</v>
      </c>
      <c r="Z44" s="146" t="s">
        <v>329</v>
      </c>
      <c r="AA44" s="154">
        <f t="shared" si="34"/>
        <v>3156724.4543910362</v>
      </c>
      <c r="AB44" s="146" t="s">
        <v>329</v>
      </c>
      <c r="AC44" s="157">
        <f t="shared" si="35"/>
        <v>2372960.8002343923</v>
      </c>
      <c r="AD44" s="146" t="s">
        <v>329</v>
      </c>
      <c r="AE44" s="156">
        <f>$AD$39*0.5*(L44/$L$53)+$AD$39*0.25*(J44/$J$53)+$AD$39*0.25*(K44/$K$53)</f>
        <v>211878.37968027033</v>
      </c>
      <c r="AF44" s="146">
        <f t="shared" si="37"/>
        <v>8443007.4482577164</v>
      </c>
      <c r="AH44" s="393"/>
    </row>
    <row r="45" spans="1:34" s="130" customFormat="1" ht="11.25" x14ac:dyDescent="0.2">
      <c r="A45" s="137"/>
      <c r="B45" s="138" t="s">
        <v>54</v>
      </c>
      <c r="C45" s="138"/>
      <c r="D45" s="139" t="s">
        <v>384</v>
      </c>
      <c r="E45" s="159" t="s">
        <v>82</v>
      </c>
      <c r="F45" s="141">
        <v>101</v>
      </c>
      <c r="G45" s="142">
        <v>92.123000000000005</v>
      </c>
      <c r="H45" s="141">
        <v>640</v>
      </c>
      <c r="I45" s="141">
        <v>6</v>
      </c>
      <c r="J45" s="141">
        <v>25</v>
      </c>
      <c r="K45" s="142">
        <v>29148</v>
      </c>
      <c r="L45" s="142">
        <v>5.8440000000000003</v>
      </c>
      <c r="M45" s="145"/>
      <c r="N45" s="145"/>
      <c r="O45" s="145"/>
      <c r="P45" s="146">
        <f t="shared" si="36"/>
        <v>0</v>
      </c>
      <c r="Q45" s="146">
        <f t="shared" si="31"/>
        <v>0</v>
      </c>
      <c r="R45" s="145"/>
      <c r="S45" s="146">
        <f t="shared" si="32"/>
        <v>0</v>
      </c>
      <c r="T45" s="146" t="s">
        <v>329</v>
      </c>
      <c r="U45" s="148"/>
      <c r="V45" s="146" t="s">
        <v>329</v>
      </c>
      <c r="W45" s="152">
        <f t="shared" si="38"/>
        <v>1138917.2034225154</v>
      </c>
      <c r="X45" s="146" t="s">
        <v>329</v>
      </c>
      <c r="Y45" s="153">
        <f t="shared" si="33"/>
        <v>444874.51251085277</v>
      </c>
      <c r="Z45" s="146" t="s">
        <v>329</v>
      </c>
      <c r="AA45" s="154">
        <f t="shared" si="34"/>
        <v>2630713.1786894277</v>
      </c>
      <c r="AB45" s="146" t="s">
        <v>329</v>
      </c>
      <c r="AC45" s="157">
        <f t="shared" si="35"/>
        <v>1246809.9119875622</v>
      </c>
      <c r="AD45" s="146" t="s">
        <v>329</v>
      </c>
      <c r="AE45" s="156">
        <f t="shared" ref="AE45:AE51" si="39">$AD$39*0.5*(L45/$L$53)+$AD$39*0.25*(J45/$J$53)+$AD$39*0.25*(K45/$K$53)</f>
        <v>1334981.5649250534</v>
      </c>
      <c r="AF45" s="146">
        <f t="shared" si="37"/>
        <v>6796296.3715354102</v>
      </c>
      <c r="AH45" s="393"/>
    </row>
    <row r="46" spans="1:34" s="130" customFormat="1" ht="11.25" x14ac:dyDescent="0.2">
      <c r="A46" s="137"/>
      <c r="B46" s="138" t="s">
        <v>56</v>
      </c>
      <c r="C46" s="138"/>
      <c r="D46" s="139" t="s">
        <v>385</v>
      </c>
      <c r="E46" s="140" t="s">
        <v>82</v>
      </c>
      <c r="F46" s="141">
        <v>199</v>
      </c>
      <c r="G46" s="142">
        <v>134.43799999999999</v>
      </c>
      <c r="H46" s="141">
        <v>150</v>
      </c>
      <c r="I46" s="141">
        <v>52</v>
      </c>
      <c r="J46" s="141">
        <v>52</v>
      </c>
      <c r="K46" s="142">
        <v>181225.47</v>
      </c>
      <c r="L46" s="142">
        <v>18.231000000000002</v>
      </c>
      <c r="M46" s="145"/>
      <c r="N46" s="145"/>
      <c r="O46" s="145"/>
      <c r="P46" s="146">
        <f t="shared" si="36"/>
        <v>0</v>
      </c>
      <c r="Q46" s="146">
        <f t="shared" si="31"/>
        <v>0</v>
      </c>
      <c r="R46" s="145"/>
      <c r="S46" s="146">
        <f t="shared" si="32"/>
        <v>0</v>
      </c>
      <c r="T46" s="146" t="s">
        <v>329</v>
      </c>
      <c r="U46" s="148"/>
      <c r="V46" s="146" t="s">
        <v>329</v>
      </c>
      <c r="W46" s="152">
        <f t="shared" si="38"/>
        <v>574051.00978957431</v>
      </c>
      <c r="X46" s="146" t="s">
        <v>329</v>
      </c>
      <c r="Y46" s="153">
        <f t="shared" si="33"/>
        <v>649219.41005974647</v>
      </c>
      <c r="Z46" s="146" t="s">
        <v>329</v>
      </c>
      <c r="AA46" s="154">
        <f t="shared" si="34"/>
        <v>3839082.7297922261</v>
      </c>
      <c r="AB46" s="146" t="s">
        <v>329</v>
      </c>
      <c r="AC46" s="157">
        <f t="shared" si="35"/>
        <v>628432.41531631153</v>
      </c>
      <c r="AD46" s="146" t="s">
        <v>329</v>
      </c>
      <c r="AE46" s="156">
        <f t="shared" si="39"/>
        <v>4313545.0405638097</v>
      </c>
      <c r="AF46" s="146">
        <f t="shared" si="37"/>
        <v>10004330.605521668</v>
      </c>
      <c r="AH46" s="393"/>
    </row>
    <row r="47" spans="1:34" s="130" customFormat="1" ht="11.25" x14ac:dyDescent="0.2">
      <c r="A47" s="137"/>
      <c r="B47" s="138" t="s">
        <v>57</v>
      </c>
      <c r="C47" s="138"/>
      <c r="D47" s="139" t="s">
        <v>386</v>
      </c>
      <c r="E47" s="140" t="s">
        <v>82</v>
      </c>
      <c r="F47" s="141">
        <v>241</v>
      </c>
      <c r="G47" s="142">
        <v>199.38</v>
      </c>
      <c r="H47" s="141">
        <v>1676</v>
      </c>
      <c r="I47" s="141">
        <v>538</v>
      </c>
      <c r="J47" s="141">
        <v>11</v>
      </c>
      <c r="K47" s="142">
        <v>11066.51</v>
      </c>
      <c r="L47" s="142">
        <v>0.45500000000000002</v>
      </c>
      <c r="M47" s="145"/>
      <c r="N47" s="145"/>
      <c r="O47" s="145"/>
      <c r="P47" s="146">
        <f t="shared" si="36"/>
        <v>0</v>
      </c>
      <c r="Q47" s="146">
        <f t="shared" si="31"/>
        <v>0</v>
      </c>
      <c r="R47" s="145"/>
      <c r="S47" s="146">
        <f t="shared" si="32"/>
        <v>0</v>
      </c>
      <c r="T47" s="146" t="s">
        <v>329</v>
      </c>
      <c r="U47" s="148"/>
      <c r="V47" s="146" t="s">
        <v>329</v>
      </c>
      <c r="W47" s="152">
        <f t="shared" si="38"/>
        <v>3346334.6864000252</v>
      </c>
      <c r="X47" s="146" t="s">
        <v>329</v>
      </c>
      <c r="Y47" s="153">
        <f t="shared" si="33"/>
        <v>962833.17200279864</v>
      </c>
      <c r="Z47" s="146" t="s">
        <v>329</v>
      </c>
      <c r="AA47" s="154">
        <f t="shared" si="34"/>
        <v>5693600.8767310884</v>
      </c>
      <c r="AB47" s="146" t="s">
        <v>329</v>
      </c>
      <c r="AC47" s="157">
        <f t="shared" si="35"/>
        <v>3663342.0263505522</v>
      </c>
      <c r="AD47" s="146" t="s">
        <v>329</v>
      </c>
      <c r="AE47" s="156">
        <f t="shared" si="39"/>
        <v>334480.40185384481</v>
      </c>
      <c r="AF47" s="146">
        <f t="shared" si="37"/>
        <v>14000591.163338309</v>
      </c>
      <c r="AH47" s="393"/>
    </row>
    <row r="48" spans="1:34" s="130" customFormat="1" ht="11.25" x14ac:dyDescent="0.2">
      <c r="A48" s="137"/>
      <c r="B48" s="138" t="s">
        <v>58</v>
      </c>
      <c r="C48" s="138"/>
      <c r="D48" s="139" t="s">
        <v>387</v>
      </c>
      <c r="E48" s="140" t="s">
        <v>82</v>
      </c>
      <c r="F48" s="141">
        <v>420</v>
      </c>
      <c r="G48" s="142">
        <v>258.37200000000001</v>
      </c>
      <c r="H48" s="141">
        <v>1025</v>
      </c>
      <c r="I48" s="141">
        <v>69</v>
      </c>
      <c r="J48" s="141">
        <v>99</v>
      </c>
      <c r="K48" s="142">
        <v>348713.22</v>
      </c>
      <c r="L48" s="142">
        <v>51.225999999999999</v>
      </c>
      <c r="M48" s="145"/>
      <c r="N48" s="145"/>
      <c r="O48" s="145"/>
      <c r="P48" s="146">
        <f t="shared" si="36"/>
        <v>0</v>
      </c>
      <c r="Q48" s="146">
        <f t="shared" si="31"/>
        <v>0</v>
      </c>
      <c r="R48" s="145"/>
      <c r="S48" s="146">
        <f t="shared" si="32"/>
        <v>0</v>
      </c>
      <c r="T48" s="146" t="s">
        <v>329</v>
      </c>
      <c r="U48" s="148"/>
      <c r="V48" s="146" t="s">
        <v>329</v>
      </c>
      <c r="W48" s="152">
        <f t="shared" si="38"/>
        <v>2264822.583956467</v>
      </c>
      <c r="X48" s="146" t="s">
        <v>329</v>
      </c>
      <c r="Y48" s="153">
        <f t="shared" si="33"/>
        <v>1247713.5736618876</v>
      </c>
      <c r="Z48" s="146" t="s">
        <v>329</v>
      </c>
      <c r="AA48" s="154">
        <f t="shared" si="34"/>
        <v>7378207.6723982589</v>
      </c>
      <c r="AB48" s="146" t="s">
        <v>329</v>
      </c>
      <c r="AC48" s="157">
        <f t="shared" si="35"/>
        <v>2479375.355894621</v>
      </c>
      <c r="AD48" s="146" t="s">
        <v>329</v>
      </c>
      <c r="AE48" s="156">
        <f t="shared" si="39"/>
        <v>10115730.701109376</v>
      </c>
      <c r="AF48" s="146">
        <f t="shared" si="37"/>
        <v>23485849.88702061</v>
      </c>
      <c r="AH48" s="393"/>
    </row>
    <row r="49" spans="1:34" s="130" customFormat="1" ht="11.25" x14ac:dyDescent="0.2">
      <c r="A49" s="137"/>
      <c r="B49" s="138" t="s">
        <v>59</v>
      </c>
      <c r="C49" s="138"/>
      <c r="D49" s="139" t="s">
        <v>388</v>
      </c>
      <c r="E49" s="140" t="s">
        <v>82</v>
      </c>
      <c r="F49" s="141">
        <v>66</v>
      </c>
      <c r="G49" s="142">
        <v>55.423000000000002</v>
      </c>
      <c r="H49" s="141">
        <v>352</v>
      </c>
      <c r="I49" s="141">
        <v>392</v>
      </c>
      <c r="J49" s="141">
        <v>9</v>
      </c>
      <c r="K49" s="142">
        <v>12175.27</v>
      </c>
      <c r="L49" s="142">
        <v>3.214</v>
      </c>
      <c r="M49" s="145"/>
      <c r="N49" s="145"/>
      <c r="O49" s="145"/>
      <c r="P49" s="146">
        <f t="shared" si="36"/>
        <v>0</v>
      </c>
      <c r="Q49" s="146">
        <f t="shared" si="31"/>
        <v>0</v>
      </c>
      <c r="R49" s="145"/>
      <c r="S49" s="146">
        <f t="shared" si="32"/>
        <v>0</v>
      </c>
      <c r="T49" s="146" t="s">
        <v>329</v>
      </c>
      <c r="U49" s="148"/>
      <c r="V49" s="146" t="s">
        <v>329</v>
      </c>
      <c r="W49" s="152">
        <f t="shared" si="38"/>
        <v>939912.85336212965</v>
      </c>
      <c r="X49" s="146" t="s">
        <v>329</v>
      </c>
      <c r="Y49" s="153">
        <f t="shared" si="33"/>
        <v>267645.21462489275</v>
      </c>
      <c r="Z49" s="146" t="s">
        <v>329</v>
      </c>
      <c r="AA49" s="154">
        <f t="shared" si="34"/>
        <v>1582688.5414337805</v>
      </c>
      <c r="AB49" s="146" t="s">
        <v>329</v>
      </c>
      <c r="AC49" s="157">
        <f t="shared" si="35"/>
        <v>1028953.3413445741</v>
      </c>
      <c r="AD49" s="146" t="s">
        <v>329</v>
      </c>
      <c r="AE49" s="156">
        <f t="shared" si="39"/>
        <v>618589.81199202093</v>
      </c>
      <c r="AF49" s="146">
        <f t="shared" si="37"/>
        <v>4437789.7627573982</v>
      </c>
      <c r="AH49" s="393"/>
    </row>
    <row r="50" spans="1:34" s="130" customFormat="1" ht="11.25" x14ac:dyDescent="0.2">
      <c r="A50" s="137"/>
      <c r="B50" s="138" t="s">
        <v>60</v>
      </c>
      <c r="C50" s="138"/>
      <c r="D50" s="139" t="s">
        <v>389</v>
      </c>
      <c r="E50" s="140" t="s">
        <v>82</v>
      </c>
      <c r="F50" s="141">
        <v>236</v>
      </c>
      <c r="G50" s="142">
        <v>158.81</v>
      </c>
      <c r="H50" s="141">
        <v>1286</v>
      </c>
      <c r="I50" s="141">
        <v>672</v>
      </c>
      <c r="J50" s="141">
        <v>14</v>
      </c>
      <c r="K50" s="142">
        <v>23802.29</v>
      </c>
      <c r="L50" s="142">
        <v>0.93400000000000005</v>
      </c>
      <c r="M50" s="145"/>
      <c r="N50" s="145"/>
      <c r="O50" s="145"/>
      <c r="P50" s="146">
        <f t="shared" si="36"/>
        <v>0</v>
      </c>
      <c r="Q50" s="146">
        <f t="shared" si="31"/>
        <v>0</v>
      </c>
      <c r="R50" s="145"/>
      <c r="S50" s="146">
        <f t="shared" si="32"/>
        <v>0</v>
      </c>
      <c r="T50" s="146" t="s">
        <v>329</v>
      </c>
      <c r="U50" s="148" t="s">
        <v>329</v>
      </c>
      <c r="V50" s="146" t="s">
        <v>329</v>
      </c>
      <c r="W50" s="152">
        <f t="shared" si="38"/>
        <v>2844231.403170744</v>
      </c>
      <c r="X50" s="146" t="s">
        <v>329</v>
      </c>
      <c r="Y50" s="153">
        <f t="shared" si="33"/>
        <v>766915.11709180695</v>
      </c>
      <c r="Z50" s="146" t="s">
        <v>329</v>
      </c>
      <c r="AA50" s="154">
        <f t="shared" si="34"/>
        <v>4535062.4698247779</v>
      </c>
      <c r="AB50" s="146" t="s">
        <v>329</v>
      </c>
      <c r="AC50" s="157">
        <f t="shared" si="35"/>
        <v>3113673.1404205519</v>
      </c>
      <c r="AD50" s="146" t="s">
        <v>329</v>
      </c>
      <c r="AE50" s="156">
        <f t="shared" si="39"/>
        <v>534229.14452766348</v>
      </c>
      <c r="AF50" s="146">
        <f t="shared" si="37"/>
        <v>11794111.275035545</v>
      </c>
      <c r="AH50" s="393"/>
    </row>
    <row r="51" spans="1:34" s="130" customFormat="1" ht="11.25" x14ac:dyDescent="0.2">
      <c r="A51" s="137"/>
      <c r="B51" s="138" t="s">
        <v>61</v>
      </c>
      <c r="C51" s="138"/>
      <c r="D51" s="139" t="s">
        <v>390</v>
      </c>
      <c r="E51" s="140" t="s">
        <v>82</v>
      </c>
      <c r="F51" s="141">
        <v>164</v>
      </c>
      <c r="G51" s="142">
        <v>142.51499999999999</v>
      </c>
      <c r="H51" s="141">
        <v>945</v>
      </c>
      <c r="I51" s="141">
        <v>314</v>
      </c>
      <c r="J51" s="141">
        <v>39</v>
      </c>
      <c r="K51" s="142">
        <v>72327.360000000001</v>
      </c>
      <c r="L51" s="142">
        <v>4.1390000000000002</v>
      </c>
      <c r="M51" s="145"/>
      <c r="N51" s="145"/>
      <c r="O51" s="145"/>
      <c r="P51" s="146">
        <f t="shared" si="36"/>
        <v>0</v>
      </c>
      <c r="Q51" s="146">
        <f t="shared" si="31"/>
        <v>0</v>
      </c>
      <c r="R51" s="145"/>
      <c r="S51" s="146">
        <f t="shared" si="32"/>
        <v>0</v>
      </c>
      <c r="T51" s="146" t="s">
        <v>329</v>
      </c>
      <c r="U51" s="148"/>
      <c r="V51" s="146" t="s">
        <v>329</v>
      </c>
      <c r="W51" s="152">
        <f t="shared" si="38"/>
        <v>1937996.2090496027</v>
      </c>
      <c r="X51" s="146" t="s">
        <v>329</v>
      </c>
      <c r="Y51" s="153">
        <f t="shared" si="33"/>
        <v>688224.34300320421</v>
      </c>
      <c r="Z51" s="146" t="s">
        <v>329</v>
      </c>
      <c r="AA51" s="154">
        <f t="shared" si="34"/>
        <v>4069733.8195773452</v>
      </c>
      <c r="AB51" s="146" t="s">
        <v>329</v>
      </c>
      <c r="AC51" s="157">
        <f t="shared" si="35"/>
        <v>2121587.8341078679</v>
      </c>
      <c r="AD51" s="146" t="s">
        <v>329</v>
      </c>
      <c r="AE51" s="156">
        <f t="shared" si="39"/>
        <v>1705186.8045856189</v>
      </c>
      <c r="AF51" s="146">
        <f t="shared" si="37"/>
        <v>10522729.01032364</v>
      </c>
      <c r="AH51" s="393"/>
    </row>
    <row r="52" spans="1:34" s="130" customFormat="1" ht="11.25" x14ac:dyDescent="0.2">
      <c r="A52" s="137"/>
      <c r="B52" s="138" t="s">
        <v>391</v>
      </c>
      <c r="C52" s="138"/>
      <c r="D52" s="139" t="s">
        <v>392</v>
      </c>
      <c r="E52" s="140" t="s">
        <v>82</v>
      </c>
      <c r="F52" s="141">
        <f>81*0.5</f>
        <v>40.5</v>
      </c>
      <c r="G52" s="142">
        <f>82.688*0.5</f>
        <v>41.344000000000001</v>
      </c>
      <c r="H52" s="143"/>
      <c r="I52" s="143"/>
      <c r="J52" s="143"/>
      <c r="K52" s="144"/>
      <c r="L52" s="144"/>
      <c r="M52" s="145"/>
      <c r="N52" s="145"/>
      <c r="O52" s="145"/>
      <c r="P52" s="146">
        <v>0</v>
      </c>
      <c r="Q52" s="146">
        <f t="shared" si="31"/>
        <v>0</v>
      </c>
      <c r="R52" s="145"/>
      <c r="S52" s="146">
        <f t="shared" si="32"/>
        <v>0</v>
      </c>
      <c r="T52" s="146" t="s">
        <v>329</v>
      </c>
      <c r="U52" s="148"/>
      <c r="V52" s="146" t="s">
        <v>329</v>
      </c>
      <c r="W52" s="152">
        <f t="shared" si="38"/>
        <v>61997.509057274023</v>
      </c>
      <c r="X52" s="146" t="s">
        <v>329</v>
      </c>
      <c r="Y52" s="153">
        <f t="shared" si="33"/>
        <v>199655.80631599814</v>
      </c>
      <c r="Z52" s="146" t="s">
        <v>329</v>
      </c>
      <c r="AA52" s="154">
        <f t="shared" si="34"/>
        <v>1180641.1608364438</v>
      </c>
      <c r="AB52" s="146" t="s">
        <v>329</v>
      </c>
      <c r="AC52" s="157" t="s">
        <v>329</v>
      </c>
      <c r="AD52" s="146" t="s">
        <v>329</v>
      </c>
      <c r="AE52" s="156" t="s">
        <v>329</v>
      </c>
      <c r="AF52" s="146">
        <f t="shared" si="37"/>
        <v>1442294.4762097159</v>
      </c>
      <c r="AH52" s="393"/>
    </row>
    <row r="53" spans="1:34" s="130" customFormat="1" ht="11.25" x14ac:dyDescent="0.2">
      <c r="A53" s="137"/>
      <c r="B53" s="137" t="s">
        <v>393</v>
      </c>
      <c r="C53" s="137"/>
      <c r="D53" s="151"/>
      <c r="E53" s="144">
        <f t="shared" ref="E53:S53" si="40">SUM(E42:E52)</f>
        <v>0</v>
      </c>
      <c r="F53" s="144">
        <f t="shared" si="40"/>
        <v>1592.5</v>
      </c>
      <c r="G53" s="144">
        <f t="shared" si="40"/>
        <v>1192.9479999999999</v>
      </c>
      <c r="H53" s="143">
        <f t="shared" si="40"/>
        <v>7185</v>
      </c>
      <c r="I53" s="143">
        <f t="shared" si="40"/>
        <v>2403</v>
      </c>
      <c r="J53" s="143">
        <f t="shared" si="40"/>
        <v>257</v>
      </c>
      <c r="K53" s="144">
        <f t="shared" ref="K53" si="41">SUM(K42:K52)</f>
        <v>682988.51</v>
      </c>
      <c r="L53" s="144">
        <f t="shared" si="40"/>
        <v>84.314999999999984</v>
      </c>
      <c r="M53" s="146">
        <f t="shared" si="40"/>
        <v>0</v>
      </c>
      <c r="N53" s="146">
        <f t="shared" si="40"/>
        <v>0</v>
      </c>
      <c r="O53" s="146">
        <f t="shared" si="40"/>
        <v>0</v>
      </c>
      <c r="P53" s="146">
        <f t="shared" si="40"/>
        <v>0</v>
      </c>
      <c r="Q53" s="146">
        <f t="shared" si="40"/>
        <v>0</v>
      </c>
      <c r="R53" s="146">
        <f t="shared" si="40"/>
        <v>0</v>
      </c>
      <c r="S53" s="146">
        <f t="shared" si="40"/>
        <v>0</v>
      </c>
      <c r="T53" s="146" t="s">
        <v>329</v>
      </c>
      <c r="U53" s="148">
        <f>SUM(U42:U52)</f>
        <v>0</v>
      </c>
      <c r="V53" s="146" t="s">
        <v>329</v>
      </c>
      <c r="W53" s="152">
        <f>SUM(W42:W52)</f>
        <v>15275880.071173765</v>
      </c>
      <c r="X53" s="146" t="s">
        <v>329</v>
      </c>
      <c r="Y53" s="153">
        <f>SUM(Y42:Y52)</f>
        <v>5760908.350257773</v>
      </c>
      <c r="Z53" s="146" t="s">
        <v>329</v>
      </c>
      <c r="AA53" s="154">
        <f>SUM(AA42:AA52)</f>
        <v>34066454.903674386</v>
      </c>
      <c r="AB53" s="146" t="s">
        <v>329</v>
      </c>
      <c r="AC53" s="157">
        <f>SUM(AC42:AC52)</f>
        <v>16655134.825656435</v>
      </c>
      <c r="AD53" s="146" t="s">
        <v>329</v>
      </c>
      <c r="AE53" s="156">
        <f>SUM(AE42:AE52)</f>
        <v>19168621.849237658</v>
      </c>
      <c r="AF53" s="146">
        <f>SUM(AF42:AF52)</f>
        <v>90927000.000000015</v>
      </c>
      <c r="AH53" s="393"/>
    </row>
    <row r="54" spans="1:34" s="130" customFormat="1" ht="11.25" x14ac:dyDescent="0.2">
      <c r="A54" s="435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7"/>
    </row>
    <row r="55" spans="1:34" ht="22.5" x14ac:dyDescent="0.2">
      <c r="A55" s="137" t="s">
        <v>394</v>
      </c>
      <c r="B55" s="131"/>
      <c r="C55" s="131"/>
      <c r="D55" s="160"/>
      <c r="E55" s="144">
        <f t="shared" ref="E55:S55" si="42">SUM(E7,E11,E15,E30,E34,E39,E53)</f>
        <v>8800.99</v>
      </c>
      <c r="F55" s="144">
        <f t="shared" si="42"/>
        <v>1727.5</v>
      </c>
      <c r="G55" s="144">
        <f t="shared" si="42"/>
        <v>1317.4538333333333</v>
      </c>
      <c r="H55" s="144">
        <f t="shared" si="42"/>
        <v>7185</v>
      </c>
      <c r="I55" s="144">
        <f t="shared" si="42"/>
        <v>2403</v>
      </c>
      <c r="J55" s="144">
        <f t="shared" si="42"/>
        <v>257</v>
      </c>
      <c r="K55" s="144">
        <f t="shared" si="42"/>
        <v>682988.51</v>
      </c>
      <c r="L55" s="144">
        <f t="shared" si="42"/>
        <v>84.314999999999984</v>
      </c>
      <c r="M55" s="161">
        <f t="shared" si="42"/>
        <v>55648000</v>
      </c>
      <c r="N55" s="161">
        <f t="shared" si="42"/>
        <v>35279000</v>
      </c>
      <c r="O55" s="161">
        <f t="shared" si="42"/>
        <v>2900000</v>
      </c>
      <c r="P55" s="161">
        <f t="shared" si="42"/>
        <v>90927000</v>
      </c>
      <c r="Q55" s="161">
        <f t="shared" si="42"/>
        <v>88027000</v>
      </c>
      <c r="R55" s="162">
        <f t="shared" si="42"/>
        <v>0</v>
      </c>
      <c r="S55" s="161">
        <f t="shared" si="42"/>
        <v>90927000</v>
      </c>
      <c r="T55" s="146"/>
      <c r="U55" s="148">
        <f>SUM(U7,U11,U15,U30,U34,U39,U53)</f>
        <v>6920000.0000000019</v>
      </c>
      <c r="V55" s="146"/>
      <c r="W55" s="161">
        <f>SUM(W7,W11,W15,W30,W34,W39,W53)</f>
        <v>15450391.578149796</v>
      </c>
      <c r="X55" s="146"/>
      <c r="Y55" s="161">
        <f>SUM(Y7,Y11,Y15,Y30,Y34,Y39,Y53)</f>
        <v>6226557.8066243585</v>
      </c>
      <c r="Z55" s="146"/>
      <c r="AA55" s="161">
        <f>SUM(AA7,AA11,AA15,AA30,AA34,AA39,AA53)</f>
        <v>35188131.590255789</v>
      </c>
      <c r="AB55" s="146"/>
      <c r="AC55" s="161">
        <f>SUM(AC7,AC11,AC15,AC30,AC34,AC39,AC53)</f>
        <v>16655134.825656435</v>
      </c>
      <c r="AD55" s="146"/>
      <c r="AE55" s="161">
        <f>SUM(AE7,AE11,AE15,AE30,AE34,AE39,AE53)</f>
        <v>19168621.849237658</v>
      </c>
      <c r="AF55" s="161">
        <f>SUM(AF7,AF11,AF15,AF30,AF34,AF39,AF53)</f>
        <v>90927000.000000015</v>
      </c>
    </row>
    <row r="56" spans="1:34" ht="11.25" x14ac:dyDescent="0.2">
      <c r="M56" s="167"/>
      <c r="P56" s="168"/>
      <c r="U56" s="167"/>
      <c r="W56" s="167"/>
      <c r="AF56" s="168">
        <f>S55</f>
        <v>90927000</v>
      </c>
    </row>
    <row r="57" spans="1:34" x14ac:dyDescent="0.25">
      <c r="F57"/>
      <c r="M57" s="170">
        <f>M55-'[2]OsN R a AK 2018'!E188</f>
        <v>-32000</v>
      </c>
      <c r="N57" s="167">
        <f>N55+M55</f>
        <v>90927000</v>
      </c>
      <c r="O57" s="167">
        <f>'[2]ostatní náklady 2018_úprava'!D33*1000+'[2]ostatní náklady 2018_úprava'!D63*1000</f>
        <v>2900000</v>
      </c>
    </row>
    <row r="58" spans="1:34" ht="15" customHeight="1" x14ac:dyDescent="0.25">
      <c r="F58"/>
      <c r="N58" s="167"/>
      <c r="O58" s="167"/>
    </row>
    <row r="59" spans="1:34" ht="15" customHeight="1" x14ac:dyDescent="0.25">
      <c r="F59"/>
      <c r="O59" s="167"/>
      <c r="P59" s="167"/>
    </row>
    <row r="60" spans="1:34" ht="15" customHeight="1" x14ac:dyDescent="0.25">
      <c r="F60"/>
      <c r="P60" s="168"/>
    </row>
  </sheetData>
  <pageMargins left="0.70866141732283472" right="0.70866141732283472" top="0.78740157480314965" bottom="0.78740157480314965" header="0.31496062992125984" footer="0.31496062992125984"/>
  <pageSetup paperSize="8" scale="91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Obsah</vt:lpstr>
      <vt:lpstr>1.1 K - JU</vt:lpstr>
      <vt:lpstr>1.2 Objemy A JU</vt:lpstr>
      <vt:lpstr>1.3 Objemy K JU</vt:lpstr>
      <vt:lpstr>1 Objemy A+K JU</vt:lpstr>
      <vt:lpstr>2 Dotace na RVO 2018</vt:lpstr>
      <vt:lpstr>3 Rekapituace</vt:lpstr>
      <vt:lpstr>4 Návrh R a AK 2018</vt:lpstr>
      <vt:lpstr>5 Alokace R a AK 2018</vt:lpstr>
      <vt:lpstr>6 Rekapitulace 2018 s alokací</vt:lpstr>
      <vt:lpstr>'5 Alokace R a AK 2018'!Názvy_tisku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Ludvík Jiří</dc:creator>
  <cp:lastModifiedBy>Hana Kropáčková</cp:lastModifiedBy>
  <cp:lastPrinted>2018-04-18T13:27:57Z</cp:lastPrinted>
  <dcterms:created xsi:type="dcterms:W3CDTF">2017-10-19T10:37:18Z</dcterms:created>
  <dcterms:modified xsi:type="dcterms:W3CDTF">2018-04-18T13:28:47Z</dcterms:modified>
</cp:coreProperties>
</file>